
<file path=[Content_Types].xml><?xml version="1.0" encoding="utf-8"?>
<Types xmlns="http://schemas.openxmlformats.org/package/2006/content-types">
  <Default Extension="png" ContentType="image/png"/>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8415" yWindow="195" windowWidth="16425" windowHeight="11625"/>
  </bookViews>
  <sheets>
    <sheet name="DESCRIPTION" sheetId="10" r:id="rId1"/>
    <sheet name="CHEVON_FIXED COST" sheetId="2" r:id="rId2"/>
    <sheet name="CHEVON_ENTERPRISE BUDGET" sheetId="1" r:id="rId3"/>
    <sheet name="ANALYSIS" sheetId="9" r:id="rId4"/>
  </sheets>
  <calcPr calcId="145621"/>
</workbook>
</file>

<file path=xl/calcChain.xml><?xml version="1.0" encoding="utf-8"?>
<calcChain xmlns="http://schemas.openxmlformats.org/spreadsheetml/2006/main">
  <c r="H68" i="1" l="1"/>
  <c r="N46" i="2"/>
  <c r="M39" i="2"/>
  <c r="M35" i="2"/>
  <c r="M34" i="2"/>
  <c r="M22" i="2"/>
  <c r="M23" i="2"/>
  <c r="M24" i="2"/>
  <c r="M25" i="2"/>
  <c r="M26" i="2"/>
  <c r="M27" i="2"/>
  <c r="M28" i="2"/>
  <c r="M29" i="2"/>
  <c r="M30" i="2"/>
  <c r="M21" i="2"/>
  <c r="M14" i="2"/>
  <c r="M15" i="2"/>
  <c r="M16" i="2"/>
  <c r="M17" i="2"/>
  <c r="M13" i="2"/>
  <c r="M9" i="2"/>
  <c r="M8" i="2"/>
  <c r="H54" i="1" l="1"/>
  <c r="H9" i="2" l="1"/>
  <c r="H8" i="2"/>
  <c r="N44" i="2" l="1"/>
  <c r="H62" i="1"/>
  <c r="I62" i="1" s="1"/>
  <c r="G39" i="2"/>
  <c r="I68" i="1"/>
  <c r="I22" i="1"/>
  <c r="H22" i="1"/>
  <c r="I21" i="1"/>
  <c r="H21" i="1"/>
  <c r="I20" i="1"/>
  <c r="H20" i="1"/>
  <c r="H40" i="1"/>
  <c r="H39" i="1"/>
  <c r="H38" i="1"/>
  <c r="H37" i="1"/>
  <c r="H36" i="1"/>
  <c r="H35" i="1"/>
  <c r="I35" i="1"/>
  <c r="I53" i="1"/>
  <c r="I52" i="1"/>
  <c r="I51" i="1"/>
  <c r="I50" i="1"/>
  <c r="I49" i="1"/>
  <c r="I48" i="1"/>
  <c r="I47" i="1"/>
  <c r="I46" i="1"/>
  <c r="H53" i="1"/>
  <c r="H52" i="1"/>
  <c r="H51" i="1"/>
  <c r="H50" i="1"/>
  <c r="H49" i="1"/>
  <c r="H48" i="1"/>
  <c r="H47" i="1"/>
  <c r="H46" i="1"/>
  <c r="H44" i="1"/>
  <c r="H41" i="1"/>
  <c r="H33" i="1"/>
  <c r="H27" i="1"/>
  <c r="C49" i="1"/>
  <c r="C48" i="1"/>
  <c r="F48" i="1" s="1"/>
  <c r="C39" i="1" l="1"/>
  <c r="F39" i="1" s="1"/>
  <c r="I39" i="1"/>
  <c r="C30" i="1"/>
  <c r="F30" i="1" s="1"/>
  <c r="C29" i="1"/>
  <c r="N39" i="2"/>
  <c r="L40" i="2"/>
  <c r="L41" i="2"/>
  <c r="L42" i="2"/>
  <c r="L43" i="2"/>
  <c r="L39" i="2"/>
  <c r="L35" i="2"/>
  <c r="L22" i="2"/>
  <c r="L23" i="2"/>
  <c r="L24" i="2"/>
  <c r="L25" i="2"/>
  <c r="L26" i="2"/>
  <c r="L27" i="2"/>
  <c r="L28" i="2"/>
  <c r="L29" i="2"/>
  <c r="L30" i="2"/>
  <c r="L14" i="2"/>
  <c r="L15" i="2"/>
  <c r="L16" i="2"/>
  <c r="L17" i="2"/>
  <c r="L9" i="2"/>
  <c r="L34" i="2"/>
  <c r="L21" i="2"/>
  <c r="L13" i="2"/>
  <c r="L8" i="2"/>
  <c r="K18" i="2"/>
  <c r="J18" i="2"/>
  <c r="N30" i="2"/>
  <c r="G30" i="2"/>
  <c r="G29" i="2"/>
  <c r="G21" i="2"/>
  <c r="G13" i="2"/>
  <c r="H25" i="9" l="1"/>
  <c r="K25" i="9" s="1"/>
  <c r="H8" i="9"/>
  <c r="K8" i="9" s="1"/>
  <c r="C37" i="1"/>
  <c r="C35" i="1"/>
  <c r="F35" i="1" s="1"/>
  <c r="C32" i="1"/>
  <c r="F32" i="1" s="1"/>
  <c r="C28" i="1"/>
  <c r="F28" i="1" s="1"/>
  <c r="G14" i="2"/>
  <c r="F37" i="1" l="1"/>
  <c r="I37" i="1" s="1"/>
  <c r="E8" i="9"/>
  <c r="I8" i="9"/>
  <c r="G8" i="9"/>
  <c r="J8" i="9"/>
  <c r="F8" i="9"/>
  <c r="E25" i="9"/>
  <c r="I25" i="9"/>
  <c r="F25" i="9"/>
  <c r="J25" i="9"/>
  <c r="G25" i="9"/>
  <c r="H32" i="1" l="1"/>
  <c r="G26" i="2"/>
  <c r="D12" i="1"/>
  <c r="D9" i="1"/>
  <c r="C21" i="1"/>
  <c r="F21" i="1" s="1"/>
  <c r="C43" i="1" l="1"/>
  <c r="F43" i="1" s="1"/>
  <c r="C50" i="1"/>
  <c r="F50" i="1" s="1"/>
  <c r="C40" i="1"/>
  <c r="C38" i="1"/>
  <c r="C31" i="1"/>
  <c r="F31" i="1" s="1"/>
  <c r="H31" i="1" s="1"/>
  <c r="D13" i="1"/>
  <c r="D14" i="1" s="1"/>
  <c r="C36" i="1"/>
  <c r="F36" i="1" s="1"/>
  <c r="F29" i="1"/>
  <c r="H29" i="1" s="1"/>
  <c r="M40" i="2"/>
  <c r="M41" i="2"/>
  <c r="M43" i="2"/>
  <c r="H28" i="1"/>
  <c r="H30" i="1"/>
  <c r="H43" i="1" l="1"/>
  <c r="F38" i="1"/>
  <c r="I38" i="1" s="1"/>
  <c r="I40" i="1"/>
  <c r="F40" i="1"/>
  <c r="I36" i="1"/>
  <c r="N41" i="2"/>
  <c r="N43" i="2"/>
  <c r="N40" i="2"/>
  <c r="K44" i="2" l="1"/>
  <c r="K36" i="2"/>
  <c r="K31" i="2"/>
  <c r="K10" i="2"/>
  <c r="J44" i="2"/>
  <c r="J36" i="2"/>
  <c r="J31" i="2"/>
  <c r="J10" i="2"/>
  <c r="G35" i="2"/>
  <c r="G34" i="2"/>
  <c r="G22" i="2"/>
  <c r="G23" i="2"/>
  <c r="G24" i="2"/>
  <c r="G25" i="2"/>
  <c r="G27" i="2"/>
  <c r="G28" i="2"/>
  <c r="G15" i="2"/>
  <c r="G16" i="2"/>
  <c r="G17" i="2"/>
  <c r="G9" i="2"/>
  <c r="G8" i="2"/>
  <c r="M42" i="2" l="1"/>
  <c r="I31" i="1"/>
  <c r="I32" i="1"/>
  <c r="I30" i="1"/>
  <c r="I29" i="1"/>
  <c r="I28" i="1"/>
  <c r="I41" i="1"/>
  <c r="N42" i="2" l="1"/>
  <c r="N35" i="2"/>
  <c r="N34" i="2"/>
  <c r="N36" i="2" s="1"/>
  <c r="N29" i="2"/>
  <c r="N14" i="2"/>
  <c r="N27" i="2"/>
  <c r="N25" i="2"/>
  <c r="N23" i="2"/>
  <c r="I27" i="1"/>
  <c r="I33" i="1" s="1"/>
  <c r="N22" i="2"/>
  <c r="N24" i="2"/>
  <c r="N26" i="2"/>
  <c r="N28" i="2"/>
  <c r="N21" i="2"/>
  <c r="N31" i="2" s="1"/>
  <c r="N9" i="2"/>
  <c r="N15" i="2"/>
  <c r="N16" i="2"/>
  <c r="N17" i="2"/>
  <c r="N13" i="2"/>
  <c r="N18" i="2" s="1"/>
  <c r="H61" i="1" l="1"/>
  <c r="D16" i="1"/>
  <c r="C14" i="1"/>
  <c r="N8" i="2"/>
  <c r="N10" i="2" s="1"/>
  <c r="H58" i="1" s="1"/>
  <c r="C20" i="1" l="1"/>
  <c r="F20" i="1" s="1"/>
  <c r="C47" i="1"/>
  <c r="C46" i="1"/>
  <c r="F46" i="1" s="1"/>
  <c r="C16" i="1"/>
  <c r="H60" i="1"/>
  <c r="H59" i="1"/>
  <c r="D12" i="9" l="1"/>
  <c r="H63" i="1"/>
  <c r="H69" i="1" s="1"/>
  <c r="I43" i="1"/>
  <c r="I44" i="1" s="1"/>
  <c r="I61" i="1"/>
  <c r="I60" i="1"/>
  <c r="I59" i="1"/>
  <c r="D9" i="9" l="1"/>
  <c r="D10" i="9"/>
  <c r="D11" i="9"/>
  <c r="D13" i="9"/>
  <c r="D15" i="9"/>
  <c r="D14" i="9"/>
  <c r="H64" i="1"/>
  <c r="I58" i="1"/>
  <c r="I63" i="1" s="1"/>
  <c r="I69" i="1" s="1"/>
  <c r="H70" i="1" l="1"/>
  <c r="D29" i="9"/>
  <c r="H12" i="9"/>
  <c r="H9" i="9"/>
  <c r="I9" i="9"/>
  <c r="E9" i="9"/>
  <c r="G9" i="9"/>
  <c r="K12" i="9"/>
  <c r="G12" i="9"/>
  <c r="I12" i="9"/>
  <c r="K9" i="9"/>
  <c r="E12" i="9"/>
  <c r="E13" i="9"/>
  <c r="K13" i="9"/>
  <c r="H11" i="9"/>
  <c r="G13" i="9"/>
  <c r="J13" i="9"/>
  <c r="F9" i="9"/>
  <c r="F15" i="9"/>
  <c r="H14" i="9"/>
  <c r="J14" i="9"/>
  <c r="E10" i="9"/>
  <c r="K10" i="9"/>
  <c r="K11" i="9"/>
  <c r="H13" i="9"/>
  <c r="J11" i="9"/>
  <c r="F11" i="9"/>
  <c r="H15" i="9"/>
  <c r="J15" i="9"/>
  <c r="E14" i="9"/>
  <c r="G14" i="9"/>
  <c r="I10" i="9"/>
  <c r="K14" i="9"/>
  <c r="E11" i="9"/>
  <c r="I13" i="9"/>
  <c r="J12" i="9"/>
  <c r="F12" i="9"/>
  <c r="E15" i="9"/>
  <c r="G15" i="9"/>
  <c r="I14" i="9"/>
  <c r="G10" i="9"/>
  <c r="F10" i="9"/>
  <c r="G11" i="9"/>
  <c r="I11" i="9"/>
  <c r="J9" i="9"/>
  <c r="F13" i="9"/>
  <c r="I15" i="9"/>
  <c r="K15" i="9"/>
  <c r="F14" i="9"/>
  <c r="H10" i="9"/>
  <c r="J10" i="9"/>
  <c r="D28" i="9" l="1"/>
  <c r="D31" i="9"/>
  <c r="D32" i="9"/>
  <c r="I29" i="9"/>
  <c r="G29" i="9"/>
  <c r="D27" i="9"/>
  <c r="K29" i="9"/>
  <c r="H29" i="9"/>
  <c r="D26" i="9"/>
  <c r="E26" i="9" s="1"/>
  <c r="D30" i="9"/>
  <c r="E29" i="9"/>
  <c r="J29" i="9"/>
  <c r="F29" i="9"/>
  <c r="I54" i="1"/>
  <c r="J30" i="9" l="1"/>
  <c r="H30" i="9"/>
  <c r="F30" i="9"/>
  <c r="K30" i="9"/>
  <c r="I30" i="9"/>
  <c r="G30" i="9"/>
  <c r="E30" i="9"/>
  <c r="F32" i="9"/>
  <c r="K32" i="9"/>
  <c r="I32" i="9"/>
  <c r="G32" i="9"/>
  <c r="E32" i="9"/>
  <c r="J32" i="9"/>
  <c r="H32" i="9"/>
  <c r="H27" i="9"/>
  <c r="G27" i="9"/>
  <c r="E27" i="9"/>
  <c r="K27" i="9"/>
  <c r="J27" i="9"/>
  <c r="I27" i="9"/>
  <c r="F27" i="9"/>
  <c r="K31" i="9"/>
  <c r="E31" i="9"/>
  <c r="G31" i="9"/>
  <c r="I31" i="9"/>
  <c r="F31" i="9"/>
  <c r="H31" i="9"/>
  <c r="J31" i="9"/>
  <c r="K26" i="9"/>
  <c r="I26" i="9"/>
  <c r="H26" i="9"/>
  <c r="G26" i="9"/>
  <c r="J26" i="9"/>
  <c r="F26" i="9"/>
  <c r="K28" i="9"/>
  <c r="H28" i="9"/>
  <c r="I28" i="9"/>
  <c r="G28" i="9"/>
  <c r="E28" i="9"/>
  <c r="F28" i="9"/>
  <c r="J28" i="9"/>
  <c r="I64" i="1"/>
  <c r="I70" i="1" s="1"/>
</calcChain>
</file>

<file path=xl/comments1.xml><?xml version="1.0" encoding="utf-8"?>
<comments xmlns="http://schemas.openxmlformats.org/spreadsheetml/2006/main">
  <authors>
    <author>Ermi</author>
  </authors>
  <commentList>
    <comment ref="E43" authorId="0">
      <text>
        <r>
          <rPr>
            <b/>
            <sz val="9"/>
            <color indexed="81"/>
            <rFont val="Tahoma"/>
            <family val="2"/>
          </rPr>
          <t>Ermi:</t>
        </r>
        <r>
          <rPr>
            <sz val="9"/>
            <color indexed="81"/>
            <rFont val="Tahoma"/>
            <family val="2"/>
          </rPr>
          <t xml:space="preserve">
6-8 hours a day for 1 month~ 7x30 = 210 hour (lambing season)</t>
        </r>
      </text>
    </comment>
  </commentList>
</comments>
</file>

<file path=xl/sharedStrings.xml><?xml version="1.0" encoding="utf-8"?>
<sst xmlns="http://schemas.openxmlformats.org/spreadsheetml/2006/main" count="195" uniqueCount="151">
  <si>
    <t>Item</t>
  </si>
  <si>
    <t>Number</t>
  </si>
  <si>
    <t>No. Head</t>
  </si>
  <si>
    <t>Total Revenue</t>
  </si>
  <si>
    <t>Unit</t>
  </si>
  <si>
    <t>Quantity</t>
  </si>
  <si>
    <t>Veterinary</t>
  </si>
  <si>
    <t>Interest on operating capital</t>
  </si>
  <si>
    <t>Overhead</t>
  </si>
  <si>
    <t xml:space="preserve">Total </t>
  </si>
  <si>
    <t>Useful life (years)</t>
  </si>
  <si>
    <t>Animals</t>
  </si>
  <si>
    <t>Machinery</t>
  </si>
  <si>
    <t>Equipment and Tools</t>
  </si>
  <si>
    <t>Building and Fencing</t>
  </si>
  <si>
    <t>Drenching gun(metal)</t>
  </si>
  <si>
    <t>Elastrator</t>
  </si>
  <si>
    <t>Ear tag applicator</t>
  </si>
  <si>
    <t>Pitchfork and shovels</t>
  </si>
  <si>
    <t>Depreciation</t>
  </si>
  <si>
    <t>Annual</t>
  </si>
  <si>
    <t>Interest</t>
  </si>
  <si>
    <t>Total Equipment and Tools</t>
  </si>
  <si>
    <t>Total Machinery</t>
  </si>
  <si>
    <t>Total Cost</t>
  </si>
  <si>
    <t>number</t>
  </si>
  <si>
    <t>Total Building and Fencing</t>
  </si>
  <si>
    <t>Vehicle Insurance</t>
  </si>
  <si>
    <t>Overhead Charges</t>
  </si>
  <si>
    <t>No.Head</t>
  </si>
  <si>
    <t>bails</t>
  </si>
  <si>
    <t>Deworming adults</t>
  </si>
  <si>
    <t>Interest rate</t>
  </si>
  <si>
    <t>Electricity charge</t>
  </si>
  <si>
    <t>Repair &amp; Maint.</t>
  </si>
  <si>
    <t>Total Repair and Maintenance</t>
  </si>
  <si>
    <t>heads</t>
  </si>
  <si>
    <t>Quantity/head</t>
  </si>
  <si>
    <t>acres</t>
  </si>
  <si>
    <t>Total Quantity</t>
  </si>
  <si>
    <t>Fees, permits and other payments</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</si>
  <si>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</si>
  <si>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 xml:space="preserve">Pasture management </t>
  </si>
  <si>
    <t>pounds</t>
  </si>
  <si>
    <t>Annual Fixed Cost Calculation</t>
  </si>
  <si>
    <t>Land rent</t>
  </si>
  <si>
    <t>Water charge</t>
  </si>
  <si>
    <t>$/unit</t>
  </si>
  <si>
    <t>Total cost</t>
  </si>
  <si>
    <t>Trade-in or cull value</t>
  </si>
  <si>
    <t>Annual insurance</t>
  </si>
  <si>
    <t>Annual fixed cost</t>
  </si>
  <si>
    <t>30HP (new)</t>
  </si>
  <si>
    <t>used</t>
  </si>
  <si>
    <t xml:space="preserve">Truck </t>
  </si>
  <si>
    <t xml:space="preserve">Tractor with loader </t>
  </si>
  <si>
    <t>hours</t>
  </si>
  <si>
    <t>head</t>
  </si>
  <si>
    <t>Labour</t>
  </si>
  <si>
    <t>Total labour cost</t>
  </si>
  <si>
    <t>Total feed cost</t>
  </si>
  <si>
    <t xml:space="preserve">Miscellaneous </t>
  </si>
  <si>
    <t xml:space="preserve">Sensitivity Analysis </t>
  </si>
  <si>
    <t xml:space="preserve">(Value of Production less Total Costs as Price and Yield Vary) </t>
  </si>
  <si>
    <t>Decrease</t>
  </si>
  <si>
    <t>Increase</t>
  </si>
  <si>
    <t>MINUS</t>
  </si>
  <si>
    <t>PLUS</t>
  </si>
  <si>
    <t>Breakeven Analysis</t>
  </si>
  <si>
    <t xml:space="preserve">(Yield as Total Cost and Price Vary) </t>
  </si>
  <si>
    <t>Total miscellaneous cost</t>
  </si>
  <si>
    <t>Building and fencing</t>
  </si>
  <si>
    <t>Equipment and tools</t>
  </si>
  <si>
    <t>ANNUAL FIXED COST</t>
  </si>
  <si>
    <t>ANNUAL VARIABLE COST</t>
  </si>
  <si>
    <t>REVENUE</t>
  </si>
  <si>
    <t>TOTAL FIXED COST</t>
  </si>
  <si>
    <t>TOTAL VARIABLE AND FIXED COST</t>
  </si>
  <si>
    <t>Quantity/Head</t>
  </si>
  <si>
    <t>TOTAL VARIABLE COST</t>
  </si>
  <si>
    <t>NET RETURN</t>
  </si>
  <si>
    <t>$/20 ewes</t>
  </si>
  <si>
    <t>$/ewe</t>
  </si>
  <si>
    <t>Total overhead</t>
  </si>
  <si>
    <t>Yield (pounds)</t>
  </si>
  <si>
    <t>Price/pound</t>
  </si>
  <si>
    <t>($ per 20 does)</t>
  </si>
  <si>
    <t>( Yield per 20 does)</t>
  </si>
  <si>
    <t>Does</t>
  </si>
  <si>
    <t>Buck</t>
  </si>
  <si>
    <t>Panels</t>
  </si>
  <si>
    <t>Basic Pole Center Shelter</t>
  </si>
  <si>
    <t>Perimeter Fencing</t>
  </si>
  <si>
    <t>Type</t>
  </si>
  <si>
    <t>Five 8" X 4" pens</t>
  </si>
  <si>
    <t>Six 14" X 14" pens</t>
  </si>
  <si>
    <t xml:space="preserve">one  10" X 10" </t>
  </si>
  <si>
    <t xml:space="preserve">Corral Pens </t>
  </si>
  <si>
    <t xml:space="preserve">Kidding/sick Pens </t>
  </si>
  <si>
    <t xml:space="preserve">Buck Pen </t>
  </si>
  <si>
    <t>Buckets</t>
  </si>
  <si>
    <t>Heated Water Trophs</t>
  </si>
  <si>
    <t>Foot Trimmer</t>
  </si>
  <si>
    <t>Buck marking harness</t>
  </si>
  <si>
    <t>Kidding jags</t>
  </si>
  <si>
    <t>Tuber for feeding kids</t>
  </si>
  <si>
    <t>Fertility rate (kids born)</t>
  </si>
  <si>
    <t>Does culled</t>
  </si>
  <si>
    <t>Bucks culled</t>
  </si>
  <si>
    <t>Does death rate (loss)</t>
  </si>
  <si>
    <t>Pre weaning kid mortalities</t>
  </si>
  <si>
    <t>Kids weaned</t>
  </si>
  <si>
    <t>Replacement does kids</t>
  </si>
  <si>
    <t>Kids available for sale</t>
  </si>
  <si>
    <t>Market kids</t>
  </si>
  <si>
    <t>Does culled/auction market</t>
  </si>
  <si>
    <t>Hay (does and buck)</t>
  </si>
  <si>
    <t>Grain (does)</t>
  </si>
  <si>
    <t>Grain (kids)</t>
  </si>
  <si>
    <t>Grain (buck)</t>
  </si>
  <si>
    <t>Salts and minerals</t>
  </si>
  <si>
    <t>Deworming kids</t>
  </si>
  <si>
    <t>Vaccine adults</t>
  </si>
  <si>
    <t>Vaccine kids</t>
  </si>
  <si>
    <t>On demand supplies adults</t>
  </si>
  <si>
    <t>Kidding, feeding, moving</t>
  </si>
  <si>
    <t>Processing (slaughter, cut, wrap)</t>
  </si>
  <si>
    <t>Contract transportation (chevon)</t>
  </si>
  <si>
    <t>Bedding straw</t>
  </si>
  <si>
    <t>Bedding saw dust</t>
  </si>
  <si>
    <t>Ear tags</t>
  </si>
  <si>
    <t>Syringes, needles, gloves</t>
  </si>
  <si>
    <t>Chevon Enterprise Budget, 20 Does, Southwest British Columbia</t>
  </si>
  <si>
    <t>GOAT PRODUCTIVITY INFORMATION</t>
  </si>
  <si>
    <t>Chevon Enterprise Budget, Does, Southwest British Columbia</t>
  </si>
  <si>
    <t>Per doe</t>
  </si>
  <si>
    <t>$/20 does</t>
  </si>
  <si>
    <t>$/doe</t>
  </si>
  <si>
    <t>As % of Does</t>
  </si>
  <si>
    <t>Feed</t>
  </si>
  <si>
    <t xml:space="preserve"> Machinery</t>
  </si>
  <si>
    <t>RETURNS OVER VARIABLE COST</t>
  </si>
  <si>
    <t>RETURNS OVER FIXED COST</t>
  </si>
  <si>
    <t>RETURNS OVER VARIABLE AND FIXED COST</t>
  </si>
  <si>
    <t>$/Unit</t>
  </si>
  <si>
    <t>On demand supplies kids</t>
  </si>
  <si>
    <t>Total veterinary cost</t>
  </si>
  <si>
    <t>ACKNOWLEDGMENTS</t>
  </si>
  <si>
    <t>The enterprise budgets project was generously funded by Vancouver City Savings Credit Union (Vancity).</t>
  </si>
  <si>
    <t>Support for this project does not necessarily imply Vancity's endorsement of the findings or contents here in.</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</si>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</sst>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4" formatCode="&quot;$&quot;#,##0.00"/>
    <numFmt numFmtId="165" formatCode="0.0%"/>
  </numFmts>
  <fonts count="14"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rgb="FFFF0000"/>
      <name val="Calibri"/>
      <family val="2"/>
      <scheme val="minor"/>
    </font>
    <font>
      <b/>
      <sz val="11"/>
      <color theme="1"/>
      <name val="Calibri"/>
      <family val="2"/>
      <scheme val="minor"/>
    </font>
    <font>
      <b/>
      <sz val="14"/>
      <color theme="1"/>
      <name val="Calibri"/>
      <family val="2"/>
      <scheme val="minor"/>
    </font>
    <font>
      <sz val="12"/>
      <name val="Calibri"/>
      <family val="2"/>
      <scheme val="minor"/>
    </font>
    <font>
      <sz val="12"/>
      <color theme="1"/>
      <name val="Calibri"/>
      <family val="2"/>
      <scheme val="minor"/>
    </font>
    <font>
      <b/>
      <sz val="12"/>
      <color theme="1"/>
      <name val="Calibri"/>
      <family val="2"/>
      <scheme val="minor"/>
    </font>
    <font>
      <sz val="11"/>
      <name val="Calibri"/>
      <family val="2"/>
      <scheme val="minor"/>
    </font>
    <font>
      <b/>
      <sz val="12"/>
      <name val="Calibri"/>
      <family val="2"/>
      <scheme val="minor"/>
    </font>
    <font>
      <b/>
      <sz val="14"/>
      <name val="Calibri"/>
      <family val="2"/>
      <scheme val="minor"/>
    </font>
    <font>
      <b/>
      <sz val="11"/>
      <name val="Calibri"/>
      <family val="2"/>
      <scheme val="minor"/>
    </font>
  </fonts>
  <fills count="9">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0" tint="-0.249977111117893"/>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s>
  <cellStyleXfs count="2">
    <xf numFmtId="0" fontId="0" fillId="0" borderId="0"/>
    <xf numFmtId="9" fontId="1" fillId="0" borderId="0" applyFont="0" applyFill="0" applyBorder="0" applyAlignment="0" applyProtection="0"/>
  </cellStyleXfs>
  <cellXfs count="320">
    <xf numFmtId="0" fontId="0" fillId="0" borderId="0" xfId="0"/>
    <xf numFmtId="0" fontId="0" fillId="0" borderId="0" xfId="0" applyFont="1" applyProtection="1"/>
    <xf numFmtId="164" fontId="0" fillId="0" borderId="0" xfId="0" applyNumberFormat="1" applyFont="1" applyProtection="1"/>
    <xf numFmtId="0" fontId="5" fillId="0" borderId="0" xfId="0" applyFont="1" applyFill="1" applyBorder="1" applyAlignment="1" applyProtection="1">
      <alignment horizontal="center"/>
    </xf>
    <xf numFmtId="0" fontId="0" fillId="0" borderId="0" xfId="0" applyFont="1" applyFill="1" applyBorder="1" applyProtection="1"/>
    <xf numFmtId="164" fontId="5" fillId="0" borderId="0" xfId="0" applyNumberFormat="1" applyFont="1" applyFill="1" applyBorder="1" applyAlignment="1" applyProtection="1">
      <alignment horizontal="center"/>
    </xf>
    <xf numFmtId="0" fontId="0" fillId="0" borderId="0" xfId="0" applyFont="1" applyBorder="1" applyProtection="1"/>
    <xf numFmtId="0" fontId="0" fillId="0" borderId="0" xfId="0" applyFont="1" applyBorder="1" applyAlignment="1" applyProtection="1">
      <alignment horizontal="center"/>
    </xf>
    <xf numFmtId="164" fontId="0" fillId="0" borderId="0" xfId="0" applyNumberFormat="1" applyFont="1" applyBorder="1" applyAlignment="1" applyProtection="1">
      <alignment horizontal="center"/>
    </xf>
    <xf numFmtId="0" fontId="0" fillId="0" borderId="7" xfId="0" applyFont="1" applyBorder="1" applyAlignment="1" applyProtection="1">
      <alignment horizontal="center"/>
    </xf>
    <xf numFmtId="0" fontId="0" fillId="2" borderId="10" xfId="0" applyFont="1" applyFill="1" applyBorder="1" applyAlignment="1" applyProtection="1">
      <alignment horizontal="center"/>
    </xf>
    <xf numFmtId="9" fontId="0" fillId="2" borderId="7" xfId="0" applyNumberFormat="1" applyFont="1" applyFill="1" applyBorder="1" applyAlignment="1" applyProtection="1">
      <alignment horizontal="center"/>
    </xf>
    <xf numFmtId="0" fontId="0" fillId="3" borderId="10" xfId="0" applyFont="1" applyFill="1" applyBorder="1" applyAlignment="1" applyProtection="1">
      <alignment horizontal="center"/>
    </xf>
    <xf numFmtId="9" fontId="0" fillId="0" borderId="7" xfId="0" applyNumberFormat="1" applyFont="1" applyFill="1" applyBorder="1" applyAlignment="1" applyProtection="1">
      <alignment horizontal="center"/>
    </xf>
    <xf numFmtId="9" fontId="0" fillId="3" borderId="7" xfId="1" applyFont="1" applyFill="1" applyBorder="1" applyAlignment="1" applyProtection="1">
      <alignment horizontal="center"/>
    </xf>
    <xf numFmtId="9" fontId="0" fillId="3" borderId="22" xfId="1" applyFont="1" applyFill="1" applyBorder="1" applyAlignment="1" applyProtection="1">
      <alignment horizontal="center"/>
    </xf>
    <xf numFmtId="0" fontId="0" fillId="3" borderId="25" xfId="0" applyFont="1" applyFill="1" applyBorder="1" applyAlignment="1" applyProtection="1">
      <alignment horizontal="center"/>
    </xf>
    <xf numFmtId="164" fontId="0" fillId="0" borderId="0" xfId="0" applyNumberFormat="1" applyFont="1" applyBorder="1" applyProtection="1"/>
    <xf numFmtId="1" fontId="0" fillId="3" borderId="7" xfId="0" applyNumberFormat="1" applyFont="1" applyFill="1" applyBorder="1" applyAlignment="1" applyProtection="1">
      <alignment horizontal="center"/>
    </xf>
    <xf numFmtId="0" fontId="0" fillId="2" borderId="7" xfId="0" applyFont="1" applyFill="1" applyBorder="1" applyAlignment="1" applyProtection="1">
      <alignment horizontal="center"/>
    </xf>
    <xf numFmtId="2" fontId="0" fillId="2" borderId="7" xfId="0" applyNumberFormat="1" applyFont="1" applyFill="1" applyBorder="1" applyAlignment="1" applyProtection="1">
      <alignment horizontal="center"/>
    </xf>
    <xf numFmtId="164" fontId="0" fillId="2" borderId="7" xfId="0" applyNumberFormat="1" applyFont="1" applyFill="1" applyBorder="1" applyAlignment="1" applyProtection="1">
      <alignment horizontal="center"/>
    </xf>
    <xf numFmtId="164" fontId="0" fillId="3" borderId="7" xfId="0" applyNumberFormat="1" applyFont="1" applyFill="1" applyBorder="1" applyAlignment="1" applyProtection="1">
      <alignment horizontal="center"/>
    </xf>
    <xf numFmtId="164" fontId="0" fillId="3" borderId="10" xfId="0" applyNumberFormat="1" applyFont="1" applyFill="1" applyBorder="1" applyAlignment="1" applyProtection="1">
      <alignment horizontal="center"/>
    </xf>
    <xf numFmtId="164" fontId="5" fillId="3" borderId="22" xfId="0" applyNumberFormat="1" applyFont="1" applyFill="1" applyBorder="1" applyAlignment="1" applyProtection="1">
      <alignment horizontal="center"/>
    </xf>
    <xf numFmtId="164" fontId="5" fillId="3" borderId="25" xfId="0" applyNumberFormat="1" applyFont="1" applyFill="1" applyBorder="1" applyAlignment="1" applyProtection="1">
      <alignment horizontal="center"/>
    </xf>
    <xf numFmtId="0" fontId="0" fillId="3" borderId="7" xfId="0" applyFont="1" applyFill="1" applyBorder="1" applyAlignment="1" applyProtection="1">
      <alignment horizontal="center"/>
    </xf>
    <xf numFmtId="0" fontId="0" fillId="0" borderId="7" xfId="0" applyFont="1" applyFill="1" applyBorder="1" applyAlignment="1" applyProtection="1">
      <alignment horizontal="center"/>
    </xf>
    <xf numFmtId="164" fontId="0" fillId="0" borderId="7" xfId="0" applyNumberFormat="1" applyFont="1" applyBorder="1" applyAlignment="1" applyProtection="1">
      <alignment horizontal="center"/>
    </xf>
    <xf numFmtId="0" fontId="0" fillId="0" borderId="10" xfId="0" applyFont="1" applyBorder="1" applyAlignment="1" applyProtection="1">
      <alignment horizontal="center"/>
    </xf>
    <xf numFmtId="164" fontId="0" fillId="0" borderId="7" xfId="0" applyNumberFormat="1" applyFont="1" applyFill="1" applyBorder="1" applyAlignment="1" applyProtection="1">
      <alignment horizontal="center"/>
    </xf>
    <xf numFmtId="0" fontId="0" fillId="0" borderId="10" xfId="0" applyFont="1" applyFill="1" applyBorder="1" applyAlignment="1" applyProtection="1">
      <alignment horizontal="center"/>
    </xf>
    <xf numFmtId="0" fontId="0" fillId="0" borderId="22" xfId="0" applyFont="1" applyFill="1" applyBorder="1" applyAlignment="1" applyProtection="1">
      <alignment horizontal="center"/>
    </xf>
    <xf numFmtId="0" fontId="4" fillId="0" borderId="7" xfId="0" applyFont="1" applyBorder="1" applyAlignment="1" applyProtection="1">
      <alignment horizontal="center"/>
    </xf>
    <xf numFmtId="0" fontId="0" fillId="0" borderId="0" xfId="0" applyFont="1" applyFill="1" applyBorder="1" applyAlignment="1" applyProtection="1">
      <alignment horizontal="center"/>
    </xf>
    <xf numFmtId="164" fontId="0" fillId="0" borderId="0" xfId="0" applyNumberFormat="1" applyFont="1" applyFill="1" applyBorder="1" applyAlignment="1" applyProtection="1">
      <alignment horizontal="center"/>
    </xf>
    <xf numFmtId="0" fontId="5" fillId="0" borderId="0" xfId="0" applyFont="1" applyProtection="1"/>
    <xf numFmtId="164" fontId="5" fillId="0" borderId="0" xfId="0" applyNumberFormat="1" applyFont="1" applyProtection="1"/>
    <xf numFmtId="0" fontId="0" fillId="0" borderId="0" xfId="0" applyFont="1" applyAlignment="1" applyProtection="1">
      <alignment horizontal="right"/>
    </xf>
    <xf numFmtId="164" fontId="0" fillId="0" borderId="0" xfId="0" applyNumberFormat="1" applyFont="1" applyAlignment="1" applyProtection="1">
      <alignment horizontal="right"/>
    </xf>
    <xf numFmtId="0" fontId="0" fillId="0" borderId="0" xfId="0" applyNumberFormat="1" applyFont="1" applyProtection="1"/>
    <xf numFmtId="0" fontId="5" fillId="0" borderId="26" xfId="0" applyFont="1" applyBorder="1" applyProtection="1"/>
    <xf numFmtId="0" fontId="5" fillId="0" borderId="16" xfId="0" applyFont="1" applyBorder="1" applyProtection="1"/>
    <xf numFmtId="0" fontId="5" fillId="0" borderId="4" xfId="0" applyFont="1" applyBorder="1" applyAlignment="1" applyProtection="1">
      <alignment horizontal="left"/>
    </xf>
    <xf numFmtId="0" fontId="5" fillId="0" borderId="0" xfId="0" applyFont="1" applyBorder="1" applyProtection="1"/>
    <xf numFmtId="164" fontId="5" fillId="0" borderId="0" xfId="0" applyNumberFormat="1" applyFont="1" applyBorder="1" applyProtection="1"/>
    <xf numFmtId="164" fontId="5" fillId="0" borderId="0" xfId="0" applyNumberFormat="1" applyFont="1" applyBorder="1" applyAlignment="1" applyProtection="1">
      <alignment horizontal="right"/>
    </xf>
    <xf numFmtId="0" fontId="5" fillId="0" borderId="5" xfId="0" applyNumberFormat="1" applyFont="1" applyBorder="1" applyProtection="1"/>
    <xf numFmtId="0" fontId="5" fillId="0" borderId="5" xfId="0" applyFont="1" applyBorder="1" applyProtection="1"/>
    <xf numFmtId="0" fontId="5" fillId="0" borderId="4" xfId="0" applyFont="1" applyBorder="1" applyProtection="1"/>
    <xf numFmtId="9" fontId="0" fillId="2" borderId="24" xfId="0" applyNumberFormat="1" applyFont="1" applyFill="1" applyBorder="1" applyProtection="1"/>
    <xf numFmtId="0" fontId="5" fillId="4" borderId="27" xfId="0" applyFont="1" applyFill="1" applyBorder="1" applyProtection="1"/>
    <xf numFmtId="0" fontId="0" fillId="4" borderId="2" xfId="0" applyFont="1" applyFill="1" applyBorder="1" applyProtection="1"/>
    <xf numFmtId="1" fontId="0" fillId="4" borderId="14" xfId="0" applyNumberFormat="1" applyFont="1" applyFill="1" applyBorder="1" applyAlignment="1" applyProtection="1">
      <alignment horizontal="center"/>
    </xf>
    <xf numFmtId="0" fontId="0" fillId="4" borderId="29" xfId="0" applyFont="1" applyFill="1" applyBorder="1" applyAlignment="1" applyProtection="1">
      <alignment horizontal="center"/>
    </xf>
    <xf numFmtId="164" fontId="0" fillId="4" borderId="29" xfId="0" applyNumberFormat="1" applyFont="1" applyFill="1" applyBorder="1" applyAlignment="1" applyProtection="1">
      <alignment horizontal="center"/>
    </xf>
    <xf numFmtId="0" fontId="0" fillId="4" borderId="30" xfId="0" applyNumberFormat="1" applyFont="1" applyFill="1" applyBorder="1" applyAlignment="1" applyProtection="1">
      <alignment horizontal="center"/>
    </xf>
    <xf numFmtId="0" fontId="0" fillId="4" borderId="30" xfId="0" applyFont="1" applyFill="1" applyBorder="1" applyAlignment="1" applyProtection="1">
      <alignment horizontal="center"/>
    </xf>
    <xf numFmtId="0" fontId="0" fillId="4" borderId="14" xfId="0" applyFont="1" applyFill="1" applyBorder="1" applyAlignment="1" applyProtection="1">
      <alignment horizontal="center"/>
    </xf>
    <xf numFmtId="0" fontId="0" fillId="0" borderId="28" xfId="0" applyFont="1" applyBorder="1" applyProtection="1"/>
    <xf numFmtId="1" fontId="0" fillId="2" borderId="6" xfId="0" applyNumberFormat="1" applyFont="1" applyFill="1" applyBorder="1" applyAlignment="1" applyProtection="1">
      <alignment horizontal="center"/>
    </xf>
    <xf numFmtId="4" fontId="0" fillId="2" borderId="7" xfId="0" applyNumberFormat="1" applyFont="1" applyFill="1" applyBorder="1" applyAlignment="1" applyProtection="1">
      <alignment horizontal="center"/>
    </xf>
    <xf numFmtId="4" fontId="0" fillId="3" borderId="7" xfId="0" applyNumberFormat="1" applyFont="1" applyFill="1" applyBorder="1" applyAlignment="1" applyProtection="1">
      <alignment horizontal="center"/>
    </xf>
    <xf numFmtId="1" fontId="0" fillId="2" borderId="10" xfId="0" applyNumberFormat="1" applyFont="1" applyFill="1" applyBorder="1" applyAlignment="1" applyProtection="1">
      <alignment horizontal="center"/>
    </xf>
    <xf numFmtId="164" fontId="0" fillId="2" borderId="10" xfId="0" applyNumberFormat="1" applyFont="1" applyFill="1" applyBorder="1" applyAlignment="1" applyProtection="1">
      <alignment horizontal="center"/>
    </xf>
    <xf numFmtId="0" fontId="5" fillId="4" borderId="26" xfId="0" applyFont="1" applyFill="1" applyBorder="1" applyProtection="1"/>
    <xf numFmtId="0" fontId="5" fillId="4" borderId="16" xfId="0" applyFont="1" applyFill="1" applyBorder="1" applyProtection="1"/>
    <xf numFmtId="1" fontId="5" fillId="4" borderId="21" xfId="0" applyNumberFormat="1" applyFont="1" applyFill="1" applyBorder="1" applyAlignment="1" applyProtection="1">
      <alignment horizontal="center"/>
    </xf>
    <xf numFmtId="0" fontId="5" fillId="4" borderId="22" xfId="0" applyFont="1" applyFill="1" applyBorder="1" applyAlignment="1" applyProtection="1">
      <alignment horizontal="center"/>
    </xf>
    <xf numFmtId="164" fontId="5" fillId="4" borderId="22" xfId="0" applyNumberFormat="1" applyFont="1" applyFill="1" applyBorder="1" applyAlignment="1" applyProtection="1">
      <alignment horizontal="center"/>
    </xf>
    <xf numFmtId="0" fontId="5" fillId="4" borderId="25" xfId="0" applyNumberFormat="1" applyFont="1" applyFill="1" applyBorder="1" applyAlignment="1" applyProtection="1">
      <alignment horizontal="center"/>
    </xf>
    <xf numFmtId="164" fontId="5" fillId="3" borderId="21" xfId="0" applyNumberFormat="1" applyFont="1" applyFill="1" applyBorder="1" applyAlignment="1" applyProtection="1">
      <alignment horizontal="center"/>
    </xf>
    <xf numFmtId="0" fontId="5" fillId="0" borderId="18" xfId="0" applyFont="1" applyBorder="1" applyAlignment="1" applyProtection="1">
      <alignment horizontal="center"/>
    </xf>
    <xf numFmtId="0" fontId="5" fillId="0" borderId="19" xfId="0" applyFont="1" applyBorder="1" applyAlignment="1" applyProtection="1">
      <alignment horizontal="center"/>
    </xf>
    <xf numFmtId="0" fontId="5" fillId="0" borderId="20" xfId="0" applyFont="1" applyBorder="1" applyAlignment="1" applyProtection="1">
      <alignment horizontal="center"/>
    </xf>
    <xf numFmtId="2" fontId="0" fillId="4" borderId="29" xfId="0" applyNumberFormat="1" applyFont="1" applyFill="1" applyBorder="1" applyAlignment="1" applyProtection="1">
      <alignment horizontal="center"/>
    </xf>
    <xf numFmtId="0" fontId="0" fillId="0" borderId="28" xfId="0" applyFont="1" applyFill="1" applyBorder="1" applyProtection="1"/>
    <xf numFmtId="1" fontId="0" fillId="2" borderId="11" xfId="0" applyNumberFormat="1" applyFont="1" applyFill="1" applyBorder="1" applyAlignment="1" applyProtection="1">
      <alignment horizontal="center"/>
    </xf>
    <xf numFmtId="4" fontId="0" fillId="2" borderId="38" xfId="0" applyNumberFormat="1" applyFont="1" applyFill="1" applyBorder="1" applyAlignment="1" applyProtection="1">
      <alignment horizontal="center"/>
    </xf>
    <xf numFmtId="4" fontId="0" fillId="3" borderId="38" xfId="0" applyNumberFormat="1" applyFont="1" applyFill="1" applyBorder="1" applyAlignment="1" applyProtection="1">
      <alignment horizontal="center"/>
    </xf>
    <xf numFmtId="1" fontId="0" fillId="2" borderId="39" xfId="0" applyNumberFormat="1" applyFont="1" applyFill="1" applyBorder="1" applyAlignment="1" applyProtection="1">
      <alignment horizontal="center"/>
    </xf>
    <xf numFmtId="164" fontId="0" fillId="2" borderId="38" xfId="0" applyNumberFormat="1" applyFont="1" applyFill="1" applyBorder="1" applyAlignment="1" applyProtection="1">
      <alignment horizontal="center"/>
    </xf>
    <xf numFmtId="164" fontId="0" fillId="2" borderId="39" xfId="0" applyNumberFormat="1" applyFont="1" applyFill="1" applyBorder="1" applyAlignment="1" applyProtection="1">
      <alignment horizontal="center"/>
    </xf>
    <xf numFmtId="0" fontId="0" fillId="0" borderId="0" xfId="0" applyFont="1" applyBorder="1" applyAlignment="1" applyProtection="1">
      <alignment horizontal="right"/>
    </xf>
    <xf numFmtId="164" fontId="0" fillId="0" borderId="0" xfId="0" applyNumberFormat="1" applyFont="1" applyBorder="1" applyAlignment="1" applyProtection="1">
      <alignment horizontal="right"/>
    </xf>
    <xf numFmtId="0" fontId="0" fillId="0" borderId="0" xfId="0" applyNumberFormat="1" applyFont="1" applyBorder="1" applyProtection="1"/>
    <xf numFmtId="2" fontId="0" fillId="0" borderId="0" xfId="0" applyNumberFormat="1" applyFont="1" applyBorder="1" applyProtection="1"/>
    <xf numFmtId="1" fontId="0" fillId="0" borderId="6" xfId="0" applyNumberFormat="1" applyFont="1" applyFill="1" applyBorder="1" applyAlignment="1" applyProtection="1">
      <alignment horizontal="center"/>
    </xf>
    <xf numFmtId="4" fontId="0" fillId="0" borderId="7" xfId="0" applyNumberFormat="1" applyFont="1" applyFill="1" applyBorder="1" applyAlignment="1" applyProtection="1">
      <alignment horizontal="center"/>
    </xf>
    <xf numFmtId="1" fontId="0" fillId="0" borderId="11" xfId="0" applyNumberFormat="1" applyFont="1" applyFill="1" applyBorder="1" applyAlignment="1" applyProtection="1">
      <alignment horizontal="center"/>
    </xf>
    <xf numFmtId="4" fontId="0" fillId="0" borderId="38" xfId="0" applyNumberFormat="1" applyFont="1" applyFill="1" applyBorder="1" applyAlignment="1" applyProtection="1">
      <alignment horizontal="center"/>
    </xf>
    <xf numFmtId="1" fontId="0" fillId="0" borderId="10" xfId="0" applyNumberFormat="1" applyFont="1" applyFill="1" applyBorder="1" applyAlignment="1" applyProtection="1">
      <alignment horizontal="center"/>
    </xf>
    <xf numFmtId="164" fontId="0" fillId="0" borderId="10" xfId="0" applyNumberFormat="1" applyFont="1" applyFill="1" applyBorder="1" applyAlignment="1" applyProtection="1">
      <alignment horizontal="center"/>
    </xf>
    <xf numFmtId="1" fontId="0" fillId="0" borderId="39" xfId="0" applyNumberFormat="1" applyFont="1" applyFill="1" applyBorder="1" applyAlignment="1" applyProtection="1">
      <alignment horizontal="center"/>
    </xf>
    <xf numFmtId="164" fontId="0" fillId="0" borderId="38" xfId="0" applyNumberFormat="1" applyFont="1" applyFill="1" applyBorder="1" applyAlignment="1" applyProtection="1">
      <alignment horizontal="center"/>
    </xf>
    <xf numFmtId="164" fontId="0" fillId="0" borderId="39" xfId="0" applyNumberFormat="1" applyFont="1" applyFill="1" applyBorder="1" applyAlignment="1" applyProtection="1">
      <alignment horizontal="center"/>
    </xf>
    <xf numFmtId="2" fontId="0" fillId="6" borderId="22" xfId="0" applyNumberFormat="1" applyFont="1" applyFill="1" applyBorder="1" applyAlignment="1" applyProtection="1">
      <alignment horizontal="center"/>
    </xf>
    <xf numFmtId="0" fontId="0" fillId="6" borderId="22" xfId="0" applyFont="1" applyFill="1" applyBorder="1" applyAlignment="1" applyProtection="1">
      <alignment horizontal="center"/>
    </xf>
    <xf numFmtId="164" fontId="5" fillId="6" borderId="22" xfId="0" applyNumberFormat="1" applyFont="1" applyFill="1" applyBorder="1" applyAlignment="1" applyProtection="1">
      <alignment horizontal="center"/>
    </xf>
    <xf numFmtId="164" fontId="5" fillId="6" borderId="25" xfId="0" applyNumberFormat="1" applyFont="1" applyFill="1" applyBorder="1" applyAlignment="1" applyProtection="1">
      <alignment horizontal="center"/>
    </xf>
    <xf numFmtId="0" fontId="5" fillId="5" borderId="35" xfId="0" applyFont="1" applyFill="1" applyBorder="1" applyProtection="1"/>
    <xf numFmtId="164" fontId="0" fillId="2" borderId="12" xfId="0" applyNumberFormat="1" applyFont="1" applyFill="1" applyBorder="1" applyAlignment="1" applyProtection="1">
      <alignment horizontal="center"/>
    </xf>
    <xf numFmtId="164" fontId="0" fillId="3" borderId="12" xfId="0" applyNumberFormat="1" applyFont="1" applyFill="1" applyBorder="1" applyAlignment="1" applyProtection="1">
      <alignment horizontal="center"/>
    </xf>
    <xf numFmtId="164" fontId="0" fillId="3" borderId="13" xfId="0" applyNumberFormat="1" applyFont="1" applyFill="1" applyBorder="1" applyAlignment="1" applyProtection="1">
      <alignment horizontal="center"/>
    </xf>
    <xf numFmtId="0" fontId="0" fillId="0" borderId="0" xfId="0" applyFont="1"/>
    <xf numFmtId="0" fontId="0" fillId="5" borderId="4" xfId="0" applyFont="1" applyFill="1" applyBorder="1"/>
    <xf numFmtId="0" fontId="0" fillId="5" borderId="0" xfId="0" applyFont="1" applyFill="1" applyBorder="1"/>
    <xf numFmtId="0" fontId="0" fillId="5" borderId="41" xfId="0" applyFont="1" applyFill="1" applyBorder="1"/>
    <xf numFmtId="0" fontId="8" fillId="0" borderId="0" xfId="0" applyFont="1" applyBorder="1"/>
    <xf numFmtId="165" fontId="13" fillId="2" borderId="37" xfId="1" applyNumberFormat="1" applyFont="1" applyFill="1" applyBorder="1" applyAlignment="1">
      <alignment horizontal="right"/>
    </xf>
    <xf numFmtId="165" fontId="13" fillId="2" borderId="7" xfId="0" applyNumberFormat="1" applyFont="1" applyFill="1" applyBorder="1" applyAlignment="1">
      <alignment horizontal="right"/>
    </xf>
    <xf numFmtId="0" fontId="13" fillId="0" borderId="0" xfId="0" applyFont="1" applyBorder="1" applyAlignment="1">
      <alignment horizontal="center"/>
    </xf>
    <xf numFmtId="165" fontId="13" fillId="2" borderId="10" xfId="0" applyNumberFormat="1" applyFont="1" applyFill="1" applyBorder="1" applyAlignment="1">
      <alignment horizontal="right"/>
    </xf>
    <xf numFmtId="0" fontId="0" fillId="5" borderId="23" xfId="0" applyFont="1" applyFill="1" applyBorder="1"/>
    <xf numFmtId="0" fontId="0" fillId="5" borderId="36" xfId="0" applyFont="1" applyFill="1" applyBorder="1"/>
    <xf numFmtId="0" fontId="0" fillId="5" borderId="45" xfId="0" applyFont="1" applyFill="1" applyBorder="1"/>
    <xf numFmtId="164" fontId="0" fillId="7" borderId="45" xfId="0" applyNumberFormat="1" applyFont="1" applyFill="1" applyBorder="1" applyAlignment="1">
      <alignment horizontal="center"/>
    </xf>
    <xf numFmtId="164" fontId="0" fillId="7" borderId="12" xfId="0" applyNumberFormat="1" applyFont="1" applyFill="1" applyBorder="1" applyAlignment="1">
      <alignment horizontal="center"/>
    </xf>
    <xf numFmtId="164" fontId="0" fillId="7" borderId="7" xfId="0" applyNumberFormat="1" applyFont="1" applyFill="1" applyBorder="1" applyAlignment="1">
      <alignment horizontal="center"/>
    </xf>
    <xf numFmtId="164" fontId="0" fillId="7" borderId="13" xfId="0" applyNumberFormat="1" applyFont="1" applyFill="1" applyBorder="1" applyAlignment="1">
      <alignment horizontal="center"/>
    </xf>
    <xf numFmtId="9" fontId="5" fillId="2" borderId="12" xfId="0" applyNumberFormat="1" applyFont="1" applyFill="1" applyBorder="1"/>
    <xf numFmtId="4" fontId="0" fillId="7" borderId="45" xfId="0" applyNumberFormat="1" applyFont="1" applyFill="1" applyBorder="1"/>
    <xf numFmtId="8" fontId="0" fillId="3" borderId="7" xfId="0" applyNumberFormat="1" applyFont="1" applyFill="1" applyBorder="1" applyAlignment="1">
      <alignment horizontal="center"/>
    </xf>
    <xf numFmtId="8" fontId="0" fillId="3" borderId="10" xfId="0" applyNumberFormat="1" applyFont="1" applyFill="1" applyBorder="1" applyAlignment="1">
      <alignment horizontal="center"/>
    </xf>
    <xf numFmtId="9" fontId="13" fillId="2" borderId="7" xfId="0" applyNumberFormat="1" applyFont="1" applyFill="1" applyBorder="1" applyAlignment="1">
      <alignment horizontal="right"/>
    </xf>
    <xf numFmtId="4" fontId="0" fillId="7" borderId="37" xfId="0" applyNumberFormat="1" applyFont="1" applyFill="1" applyBorder="1"/>
    <xf numFmtId="0" fontId="0" fillId="0" borderId="4" xfId="0" applyFont="1" applyBorder="1"/>
    <xf numFmtId="0" fontId="13" fillId="0" borderId="0" xfId="0" applyFont="1" applyBorder="1" applyAlignment="1">
      <alignment horizontal="left"/>
    </xf>
    <xf numFmtId="4" fontId="0" fillId="7" borderId="7" xfId="0" applyNumberFormat="1" applyFont="1" applyFill="1" applyBorder="1"/>
    <xf numFmtId="165" fontId="13" fillId="2" borderId="22" xfId="0" applyNumberFormat="1" applyFont="1" applyFill="1" applyBorder="1" applyAlignment="1">
      <alignment horizontal="right"/>
    </xf>
    <xf numFmtId="4" fontId="0" fillId="7" borderId="46" xfId="0" applyNumberFormat="1" applyFont="1" applyFill="1" applyBorder="1"/>
    <xf numFmtId="8" fontId="0" fillId="3" borderId="22" xfId="0" applyNumberFormat="1" applyFont="1" applyFill="1" applyBorder="1" applyAlignment="1">
      <alignment horizontal="center"/>
    </xf>
    <xf numFmtId="8" fontId="0" fillId="3" borderId="25" xfId="0" applyNumberFormat="1" applyFont="1" applyFill="1" applyBorder="1" applyAlignment="1">
      <alignment horizontal="center"/>
    </xf>
    <xf numFmtId="0" fontId="13" fillId="0" borderId="0" xfId="0" applyFont="1" applyAlignment="1">
      <alignment horizontal="center"/>
    </xf>
    <xf numFmtId="0" fontId="0" fillId="5" borderId="47" xfId="0" applyFont="1" applyFill="1" applyBorder="1"/>
    <xf numFmtId="165" fontId="5" fillId="2" borderId="7" xfId="0" applyNumberFormat="1" applyFont="1" applyFill="1" applyBorder="1"/>
    <xf numFmtId="164" fontId="0" fillId="7" borderId="45" xfId="0" applyNumberFormat="1" applyFont="1" applyFill="1" applyBorder="1"/>
    <xf numFmtId="3" fontId="0" fillId="3" borderId="7" xfId="0" applyNumberFormat="1" applyFont="1" applyFill="1" applyBorder="1" applyAlignment="1">
      <alignment horizontal="center"/>
    </xf>
    <xf numFmtId="3" fontId="0" fillId="3" borderId="10" xfId="0" applyNumberFormat="1" applyFont="1" applyFill="1" applyBorder="1" applyAlignment="1">
      <alignment horizontal="center"/>
    </xf>
    <xf numFmtId="164" fontId="0" fillId="7" borderId="37" xfId="0" applyNumberFormat="1" applyFont="1" applyFill="1" applyBorder="1"/>
    <xf numFmtId="164" fontId="0" fillId="7" borderId="7" xfId="0" applyNumberFormat="1" applyFont="1" applyFill="1" applyBorder="1"/>
    <xf numFmtId="164" fontId="0" fillId="7" borderId="46" xfId="0" applyNumberFormat="1" applyFont="1" applyFill="1" applyBorder="1"/>
    <xf numFmtId="3" fontId="0" fillId="3" borderId="22" xfId="0" applyNumberFormat="1" applyFont="1" applyFill="1" applyBorder="1" applyAlignment="1">
      <alignment horizontal="center"/>
    </xf>
    <xf numFmtId="3" fontId="0" fillId="3" borderId="25" xfId="0" applyNumberFormat="1" applyFont="1" applyFill="1" applyBorder="1" applyAlignment="1">
      <alignment horizontal="center"/>
    </xf>
    <xf numFmtId="0" fontId="0" fillId="6" borderId="48" xfId="0" applyFont="1" applyFill="1" applyBorder="1" applyAlignment="1" applyProtection="1">
      <alignment horizontal="center"/>
    </xf>
    <xf numFmtId="0" fontId="5" fillId="0" borderId="0" xfId="0" applyFont="1" applyFill="1" applyBorder="1" applyProtection="1"/>
    <xf numFmtId="0" fontId="0" fillId="0" borderId="0" xfId="0" applyFont="1" applyFill="1" applyProtection="1"/>
    <xf numFmtId="0" fontId="7" fillId="0" borderId="0" xfId="0" applyFont="1" applyFill="1" applyBorder="1" applyAlignment="1" applyProtection="1">
      <alignment horizontal="center" vertical="top" wrapText="1"/>
      <protection locked="0"/>
    </xf>
    <xf numFmtId="0" fontId="0" fillId="6" borderId="7" xfId="0" applyFont="1" applyFill="1" applyBorder="1" applyAlignment="1" applyProtection="1">
      <alignment horizontal="center"/>
    </xf>
    <xf numFmtId="0" fontId="0" fillId="5" borderId="2" xfId="0" applyFont="1" applyFill="1" applyBorder="1" applyProtection="1"/>
    <xf numFmtId="0" fontId="0" fillId="5" borderId="3" xfId="0" applyFont="1" applyFill="1" applyBorder="1" applyProtection="1"/>
    <xf numFmtId="0" fontId="5" fillId="5" borderId="7" xfId="0" applyFont="1" applyFill="1" applyBorder="1" applyAlignment="1" applyProtection="1">
      <alignment horizontal="center"/>
    </xf>
    <xf numFmtId="164" fontId="5" fillId="5" borderId="7" xfId="0" applyNumberFormat="1" applyFont="1" applyFill="1" applyBorder="1" applyAlignment="1" applyProtection="1">
      <alignment horizontal="center"/>
    </xf>
    <xf numFmtId="0" fontId="5" fillId="5" borderId="12" xfId="0" applyFont="1" applyFill="1" applyBorder="1" applyAlignment="1" applyProtection="1">
      <alignment horizontal="center"/>
    </xf>
    <xf numFmtId="164" fontId="5" fillId="5" borderId="12" xfId="0" applyNumberFormat="1" applyFont="1" applyFill="1" applyBorder="1" applyAlignment="1" applyProtection="1">
      <alignment horizontal="center"/>
    </xf>
    <xf numFmtId="0" fontId="0" fillId="5" borderId="42" xfId="0" applyFont="1" applyFill="1" applyBorder="1" applyProtection="1"/>
    <xf numFmtId="0" fontId="0" fillId="5" borderId="44" xfId="0" applyFont="1" applyFill="1" applyBorder="1" applyProtection="1"/>
    <xf numFmtId="0" fontId="5" fillId="5" borderId="1" xfId="0" applyFont="1" applyFill="1" applyBorder="1" applyProtection="1"/>
    <xf numFmtId="0" fontId="5" fillId="5" borderId="27" xfId="0" applyFont="1" applyFill="1" applyBorder="1" applyProtection="1"/>
    <xf numFmtId="0" fontId="5" fillId="5" borderId="3" xfId="0" applyFont="1" applyFill="1" applyBorder="1" applyProtection="1"/>
    <xf numFmtId="0" fontId="0" fillId="0" borderId="6" xfId="0" applyFont="1" applyBorder="1" applyProtection="1"/>
    <xf numFmtId="0" fontId="0" fillId="0" borderId="21" xfId="0" applyFont="1" applyBorder="1" applyProtection="1"/>
    <xf numFmtId="4" fontId="5" fillId="3" borderId="7" xfId="0" applyNumberFormat="1" applyFont="1" applyFill="1" applyBorder="1" applyAlignment="1" applyProtection="1">
      <alignment horizontal="center"/>
    </xf>
    <xf numFmtId="0" fontId="5" fillId="6" borderId="21" xfId="0" applyFont="1" applyFill="1" applyBorder="1" applyProtection="1"/>
    <xf numFmtId="0" fontId="5" fillId="5" borderId="4" xfId="0" applyFont="1" applyFill="1" applyBorder="1" applyProtection="1"/>
    <xf numFmtId="0" fontId="5" fillId="5" borderId="13" xfId="0" applyFont="1" applyFill="1" applyBorder="1" applyAlignment="1" applyProtection="1">
      <alignment horizontal="center"/>
    </xf>
    <xf numFmtId="0" fontId="5" fillId="0" borderId="6" xfId="0" applyFont="1" applyFill="1" applyBorder="1" applyProtection="1"/>
    <xf numFmtId="0" fontId="0" fillId="0" borderId="6" xfId="0" applyFont="1" applyFill="1" applyBorder="1" applyAlignment="1" applyProtection="1">
      <alignment horizontal="left" indent="2"/>
    </xf>
    <xf numFmtId="0" fontId="0" fillId="0" borderId="6" xfId="0" applyFont="1" applyFill="1" applyBorder="1" applyAlignment="1" applyProtection="1">
      <alignment horizontal="left"/>
    </xf>
    <xf numFmtId="0" fontId="5" fillId="0" borderId="6" xfId="0" applyFont="1" applyFill="1" applyBorder="1" applyAlignment="1" applyProtection="1">
      <alignment horizontal="left"/>
    </xf>
    <xf numFmtId="4" fontId="0" fillId="3" borderId="10" xfId="0" applyNumberFormat="1" applyFont="1" applyFill="1" applyBorder="1" applyAlignment="1" applyProtection="1">
      <alignment horizontal="center"/>
    </xf>
    <xf numFmtId="4" fontId="5" fillId="3" borderId="10" xfId="0" applyNumberFormat="1" applyFont="1" applyFill="1" applyBorder="1" applyAlignment="1" applyProtection="1">
      <alignment horizontal="center"/>
    </xf>
    <xf numFmtId="0" fontId="5" fillId="0" borderId="21" xfId="0" applyFont="1" applyFill="1" applyBorder="1" applyProtection="1"/>
    <xf numFmtId="4" fontId="5" fillId="3" borderId="22" xfId="0" applyNumberFormat="1" applyFont="1" applyFill="1" applyBorder="1" applyAlignment="1" applyProtection="1">
      <alignment horizontal="center"/>
    </xf>
    <xf numFmtId="4" fontId="5" fillId="3" borderId="25" xfId="0" applyNumberFormat="1" applyFont="1" applyFill="1" applyBorder="1" applyAlignment="1" applyProtection="1">
      <alignment horizontal="center"/>
    </xf>
    <xf numFmtId="0" fontId="5" fillId="5" borderId="6" xfId="0" applyFont="1" applyFill="1" applyBorder="1" applyProtection="1"/>
    <xf numFmtId="0" fontId="5" fillId="5" borderId="7" xfId="0" applyFont="1" applyFill="1" applyBorder="1" applyProtection="1"/>
    <xf numFmtId="0" fontId="0" fillId="5" borderId="2" xfId="0" applyFont="1" applyFill="1" applyBorder="1" applyAlignment="1" applyProtection="1">
      <alignment horizontal="center"/>
    </xf>
    <xf numFmtId="164" fontId="0" fillId="5" borderId="2" xfId="0" applyNumberFormat="1" applyFont="1" applyFill="1" applyBorder="1" applyAlignment="1" applyProtection="1">
      <alignment horizontal="center"/>
    </xf>
    <xf numFmtId="0" fontId="0" fillId="5" borderId="3" xfId="0" applyFont="1" applyFill="1" applyBorder="1" applyAlignment="1" applyProtection="1">
      <alignment horizontal="center"/>
    </xf>
    <xf numFmtId="0" fontId="0" fillId="5" borderId="7" xfId="0" applyFont="1" applyFill="1" applyBorder="1" applyAlignment="1" applyProtection="1">
      <alignment horizontal="center"/>
    </xf>
    <xf numFmtId="0" fontId="5" fillId="5" borderId="10" xfId="0" applyFont="1" applyFill="1" applyBorder="1" applyAlignment="1" applyProtection="1">
      <alignment horizontal="center"/>
    </xf>
    <xf numFmtId="0" fontId="0" fillId="6" borderId="6" xfId="0" applyFont="1" applyFill="1" applyBorder="1" applyAlignment="1" applyProtection="1">
      <alignment horizontal="left"/>
    </xf>
    <xf numFmtId="0" fontId="5" fillId="6" borderId="7" xfId="0" applyFont="1" applyFill="1" applyBorder="1" applyAlignment="1" applyProtection="1">
      <alignment horizontal="center"/>
    </xf>
    <xf numFmtId="0" fontId="0" fillId="0" borderId="38" xfId="0" applyFont="1" applyBorder="1" applyAlignment="1" applyProtection="1">
      <alignment horizontal="center"/>
    </xf>
    <xf numFmtId="4" fontId="0" fillId="3" borderId="39" xfId="0" applyNumberFormat="1" applyFont="1" applyFill="1" applyBorder="1" applyAlignment="1" applyProtection="1">
      <alignment horizontal="center"/>
    </xf>
    <xf numFmtId="0" fontId="5" fillId="6" borderId="34" xfId="0" applyFont="1" applyFill="1" applyBorder="1" applyProtection="1"/>
    <xf numFmtId="4" fontId="5" fillId="6" borderId="48" xfId="0" applyNumberFormat="1" applyFont="1" applyFill="1" applyBorder="1" applyAlignment="1" applyProtection="1">
      <alignment horizontal="center"/>
    </xf>
    <xf numFmtId="4" fontId="5" fillId="6" borderId="49" xfId="0" applyNumberFormat="1" applyFont="1" applyFill="1" applyBorder="1" applyAlignment="1" applyProtection="1">
      <alignment horizontal="center"/>
    </xf>
    <xf numFmtId="0" fontId="5" fillId="6" borderId="31" xfId="0" applyFont="1" applyFill="1" applyBorder="1" applyProtection="1"/>
    <xf numFmtId="0" fontId="0" fillId="6" borderId="32" xfId="0" applyFont="1" applyFill="1" applyBorder="1" applyAlignment="1" applyProtection="1">
      <alignment horizontal="center"/>
    </xf>
    <xf numFmtId="4" fontId="5" fillId="6" borderId="32" xfId="0" applyNumberFormat="1" applyFont="1" applyFill="1" applyBorder="1" applyAlignment="1" applyProtection="1">
      <alignment horizontal="center"/>
    </xf>
    <xf numFmtId="4" fontId="5" fillId="6" borderId="33" xfId="0" applyNumberFormat="1" applyFont="1" applyFill="1" applyBorder="1" applyAlignment="1" applyProtection="1">
      <alignment horizontal="center"/>
    </xf>
    <xf numFmtId="0" fontId="9" fillId="5" borderId="24" xfId="0" applyFont="1" applyFill="1" applyBorder="1" applyAlignment="1" applyProtection="1">
      <alignment wrapText="1"/>
    </xf>
    <xf numFmtId="0" fontId="9" fillId="5" borderId="19" xfId="0" applyFont="1" applyFill="1" applyBorder="1" applyAlignment="1" applyProtection="1">
      <alignment horizontal="center" vertical="center" wrapText="1"/>
    </xf>
    <xf numFmtId="0" fontId="9" fillId="5" borderId="24" xfId="0" applyFont="1" applyFill="1" applyBorder="1" applyAlignment="1" applyProtection="1">
      <alignment horizontal="center" vertical="center" wrapText="1"/>
    </xf>
    <xf numFmtId="164" fontId="9" fillId="5" borderId="24" xfId="0" applyNumberFormat="1" applyFont="1" applyFill="1" applyBorder="1" applyAlignment="1" applyProtection="1">
      <alignment horizontal="center" vertical="center" wrapText="1"/>
    </xf>
    <xf numFmtId="0" fontId="9" fillId="5" borderId="24" xfId="0" applyNumberFormat="1" applyFont="1" applyFill="1" applyBorder="1" applyAlignment="1" applyProtection="1">
      <alignment horizontal="center" vertical="center" wrapText="1"/>
    </xf>
    <xf numFmtId="1" fontId="0" fillId="5" borderId="14" xfId="0" applyNumberFormat="1" applyFont="1" applyFill="1" applyBorder="1" applyAlignment="1" applyProtection="1">
      <alignment horizontal="center"/>
    </xf>
    <xf numFmtId="0" fontId="0" fillId="5" borderId="29" xfId="0" applyFont="1" applyFill="1" applyBorder="1" applyAlignment="1" applyProtection="1">
      <alignment horizontal="center"/>
    </xf>
    <xf numFmtId="164" fontId="0" fillId="5" borderId="29" xfId="0" applyNumberFormat="1" applyFont="1" applyFill="1" applyBorder="1" applyAlignment="1" applyProtection="1">
      <alignment horizontal="center"/>
    </xf>
    <xf numFmtId="0" fontId="0" fillId="5" borderId="30" xfId="0" applyNumberFormat="1" applyFont="1" applyFill="1" applyBorder="1" applyAlignment="1" applyProtection="1">
      <alignment horizontal="center"/>
    </xf>
    <xf numFmtId="0" fontId="0" fillId="5" borderId="30" xfId="0" applyFont="1" applyFill="1" applyBorder="1" applyAlignment="1" applyProtection="1">
      <alignment horizontal="center"/>
    </xf>
    <xf numFmtId="0" fontId="0" fillId="5" borderId="14" xfId="0" applyFont="1" applyFill="1" applyBorder="1" applyAlignment="1" applyProtection="1">
      <alignment horizontal="center"/>
    </xf>
    <xf numFmtId="1" fontId="5" fillId="6" borderId="21" xfId="0" applyNumberFormat="1" applyFont="1" applyFill="1" applyBorder="1" applyAlignment="1" applyProtection="1">
      <alignment horizontal="center"/>
    </xf>
    <xf numFmtId="6" fontId="5" fillId="6" borderId="22" xfId="0" applyNumberFormat="1" applyFont="1" applyFill="1" applyBorder="1" applyAlignment="1" applyProtection="1">
      <alignment horizontal="center"/>
    </xf>
    <xf numFmtId="0" fontId="5" fillId="6" borderId="25" xfId="0" applyNumberFormat="1" applyFont="1" applyFill="1" applyBorder="1" applyAlignment="1" applyProtection="1">
      <alignment horizontal="center"/>
    </xf>
    <xf numFmtId="164" fontId="5" fillId="6" borderId="21" xfId="0" applyNumberFormat="1" applyFont="1" applyFill="1" applyBorder="1" applyAlignment="1" applyProtection="1">
      <alignment horizontal="center"/>
    </xf>
    <xf numFmtId="6" fontId="0" fillId="5" borderId="29" xfId="0" applyNumberFormat="1" applyFont="1" applyFill="1" applyBorder="1" applyAlignment="1" applyProtection="1">
      <alignment horizontal="center"/>
    </xf>
    <xf numFmtId="2" fontId="0" fillId="5" borderId="29" xfId="0" applyNumberFormat="1" applyFont="1" applyFill="1" applyBorder="1" applyAlignment="1" applyProtection="1">
      <alignment horizontal="center"/>
    </xf>
    <xf numFmtId="0" fontId="5" fillId="6" borderId="22" xfId="0" applyFont="1" applyFill="1" applyBorder="1" applyAlignment="1" applyProtection="1">
      <alignment horizontal="center"/>
    </xf>
    <xf numFmtId="1" fontId="0" fillId="6" borderId="21" xfId="0" applyNumberFormat="1" applyFont="1" applyFill="1" applyBorder="1" applyAlignment="1" applyProtection="1">
      <alignment horizontal="center"/>
    </xf>
    <xf numFmtId="164" fontId="0" fillId="6" borderId="22" xfId="0" applyNumberFormat="1" applyFont="1" applyFill="1" applyBorder="1" applyAlignment="1" applyProtection="1">
      <alignment horizontal="center"/>
    </xf>
    <xf numFmtId="1" fontId="0" fillId="6" borderId="25" xfId="0" applyNumberFormat="1" applyFont="1" applyFill="1" applyBorder="1" applyAlignment="1" applyProtection="1">
      <alignment horizontal="center"/>
    </xf>
    <xf numFmtId="164" fontId="0" fillId="6" borderId="21" xfId="0" applyNumberFormat="1" applyFont="1" applyFill="1" applyBorder="1" applyAlignment="1" applyProtection="1">
      <alignment horizontal="center"/>
    </xf>
    <xf numFmtId="1" fontId="0" fillId="0" borderId="9" xfId="0" applyNumberFormat="1" applyFont="1" applyFill="1" applyBorder="1" applyAlignment="1" applyProtection="1">
      <alignment horizontal="center"/>
    </xf>
    <xf numFmtId="4" fontId="0" fillId="0" borderId="12" xfId="0" applyNumberFormat="1" applyFont="1" applyFill="1" applyBorder="1" applyAlignment="1" applyProtection="1">
      <alignment horizontal="center"/>
    </xf>
    <xf numFmtId="4" fontId="0" fillId="3" borderId="12" xfId="0" applyNumberFormat="1" applyFont="1" applyFill="1" applyBorder="1" applyAlignment="1" applyProtection="1">
      <alignment horizontal="center"/>
    </xf>
    <xf numFmtId="1" fontId="0" fillId="0" borderId="13" xfId="0" applyNumberFormat="1" applyFont="1" applyFill="1" applyBorder="1" applyAlignment="1" applyProtection="1">
      <alignment horizontal="center"/>
    </xf>
    <xf numFmtId="164" fontId="0" fillId="0" borderId="12" xfId="0" applyNumberFormat="1" applyFont="1" applyFill="1" applyBorder="1" applyAlignment="1" applyProtection="1">
      <alignment horizontal="center"/>
    </xf>
    <xf numFmtId="164" fontId="0" fillId="0" borderId="13" xfId="0" applyNumberFormat="1" applyFont="1" applyFill="1" applyBorder="1" applyAlignment="1" applyProtection="1">
      <alignment horizontal="center"/>
    </xf>
    <xf numFmtId="164" fontId="0" fillId="3" borderId="9" xfId="0" applyNumberFormat="1" applyFont="1" applyFill="1" applyBorder="1" applyAlignment="1" applyProtection="1">
      <alignment horizontal="center"/>
    </xf>
    <xf numFmtId="0" fontId="5" fillId="5" borderId="50" xfId="0" applyFont="1" applyFill="1" applyBorder="1" applyProtection="1"/>
    <xf numFmtId="1" fontId="0" fillId="2" borderId="9" xfId="0" applyNumberFormat="1" applyFont="1" applyFill="1" applyBorder="1" applyAlignment="1" applyProtection="1">
      <alignment horizontal="center"/>
    </xf>
    <xf numFmtId="4" fontId="0" fillId="2" borderId="12" xfId="0" applyNumberFormat="1" applyFont="1" applyFill="1" applyBorder="1" applyAlignment="1" applyProtection="1">
      <alignment horizontal="center"/>
    </xf>
    <xf numFmtId="1" fontId="0" fillId="2" borderId="13" xfId="0" applyNumberFormat="1" applyFont="1" applyFill="1" applyBorder="1" applyAlignment="1" applyProtection="1">
      <alignment horizontal="center"/>
    </xf>
    <xf numFmtId="164" fontId="0" fillId="2" borderId="13" xfId="0" applyNumberFormat="1" applyFont="1" applyFill="1" applyBorder="1" applyAlignment="1" applyProtection="1">
      <alignment horizontal="center"/>
    </xf>
    <xf numFmtId="0" fontId="5" fillId="6" borderId="24" xfId="0" applyFont="1" applyFill="1" applyBorder="1" applyProtection="1"/>
    <xf numFmtId="4" fontId="0" fillId="6" borderId="18" xfId="0" applyNumberFormat="1" applyFont="1" applyFill="1" applyBorder="1" applyAlignment="1" applyProtection="1">
      <alignment horizontal="center"/>
    </xf>
    <xf numFmtId="4" fontId="0" fillId="6" borderId="19" xfId="0" applyNumberFormat="1" applyFont="1" applyFill="1" applyBorder="1" applyAlignment="1" applyProtection="1">
      <alignment horizontal="center"/>
    </xf>
    <xf numFmtId="4" fontId="0" fillId="6" borderId="20" xfId="0" applyNumberFormat="1" applyFont="1" applyFill="1" applyBorder="1" applyAlignment="1" applyProtection="1">
      <alignment horizontal="center"/>
    </xf>
    <xf numFmtId="0" fontId="0" fillId="6" borderId="19" xfId="0" applyFont="1" applyFill="1" applyBorder="1" applyProtection="1"/>
    <xf numFmtId="164" fontId="0" fillId="6" borderId="33" xfId="0" applyNumberFormat="1" applyFont="1" applyFill="1" applyBorder="1" applyAlignment="1" applyProtection="1">
      <alignment horizontal="center"/>
    </xf>
    <xf numFmtId="164" fontId="0" fillId="6" borderId="31" xfId="0" applyNumberFormat="1" applyFont="1" applyFill="1" applyBorder="1" applyAlignment="1" applyProtection="1">
      <alignment horizontal="center"/>
    </xf>
    <xf numFmtId="164" fontId="0" fillId="6" borderId="32" xfId="0" applyNumberFormat="1" applyFont="1" applyFill="1" applyBorder="1" applyAlignment="1" applyProtection="1">
      <alignment horizontal="center"/>
    </xf>
    <xf numFmtId="164" fontId="5" fillId="6" borderId="33" xfId="0" applyNumberFormat="1" applyFont="1" applyFill="1" applyBorder="1" applyAlignment="1" applyProtection="1">
      <alignment horizontal="center"/>
    </xf>
    <xf numFmtId="164" fontId="0" fillId="3" borderId="38" xfId="0" applyNumberFormat="1" applyFont="1" applyFill="1" applyBorder="1" applyAlignment="1" applyProtection="1">
      <alignment horizontal="center"/>
    </xf>
    <xf numFmtId="164" fontId="0" fillId="3" borderId="39" xfId="0" applyNumberFormat="1" applyFont="1" applyFill="1" applyBorder="1" applyAlignment="1" applyProtection="1">
      <alignment horizontal="center"/>
    </xf>
    <xf numFmtId="0" fontId="5" fillId="6" borderId="51" xfId="0" applyFont="1" applyFill="1" applyBorder="1" applyProtection="1"/>
    <xf numFmtId="0" fontId="0" fillId="6" borderId="52" xfId="0" applyFont="1" applyFill="1" applyBorder="1" applyProtection="1"/>
    <xf numFmtId="0" fontId="5" fillId="6" borderId="52" xfId="0" applyFont="1" applyFill="1" applyBorder="1" applyProtection="1"/>
    <xf numFmtId="0" fontId="9" fillId="5" borderId="18" xfId="0" applyFont="1" applyFill="1" applyBorder="1" applyAlignment="1" applyProtection="1">
      <alignment wrapText="1"/>
    </xf>
    <xf numFmtId="0" fontId="5" fillId="0" borderId="15" xfId="0" applyFont="1" applyBorder="1" applyProtection="1"/>
    <xf numFmtId="0" fontId="0" fillId="0" borderId="4" xfId="0" applyFont="1" applyBorder="1" applyProtection="1"/>
    <xf numFmtId="0" fontId="5" fillId="4" borderId="15" xfId="0" applyFont="1" applyFill="1" applyBorder="1" applyProtection="1"/>
    <xf numFmtId="0" fontId="5" fillId="4" borderId="1" xfId="0" applyFont="1" applyFill="1" applyBorder="1" applyProtection="1"/>
    <xf numFmtId="0" fontId="5" fillId="6" borderId="53" xfId="0" applyFont="1" applyFill="1" applyBorder="1" applyProtection="1"/>
    <xf numFmtId="0" fontId="0" fillId="0" borderId="4" xfId="0" applyFont="1" applyFill="1" applyBorder="1" applyProtection="1"/>
    <xf numFmtId="0" fontId="5" fillId="6" borderId="18" xfId="0" applyFont="1" applyFill="1" applyBorder="1" applyProtection="1"/>
    <xf numFmtId="0" fontId="0" fillId="0" borderId="5" xfId="0" applyFont="1" applyBorder="1" applyProtection="1"/>
    <xf numFmtId="0" fontId="5" fillId="6" borderId="54" xfId="0" applyFont="1" applyFill="1" applyBorder="1" applyProtection="1"/>
    <xf numFmtId="4" fontId="0" fillId="6" borderId="20" xfId="0" applyNumberFormat="1" applyFont="1" applyFill="1" applyBorder="1" applyAlignment="1" applyProtection="1">
      <alignment horizontal="left"/>
    </xf>
    <xf numFmtId="0" fontId="5" fillId="0" borderId="24" xfId="0" applyFont="1" applyBorder="1" applyAlignment="1" applyProtection="1">
      <alignment horizontal="center"/>
    </xf>
    <xf numFmtId="0" fontId="5" fillId="0" borderId="28" xfId="0" applyFont="1" applyBorder="1" applyProtection="1"/>
    <xf numFmtId="164" fontId="0" fillId="2" borderId="55" xfId="0" applyNumberFormat="1" applyFont="1" applyFill="1" applyBorder="1" applyAlignment="1" applyProtection="1">
      <alignment horizontal="center"/>
    </xf>
    <xf numFmtId="4" fontId="0" fillId="6" borderId="22" xfId="0" applyNumberFormat="1" applyFont="1" applyFill="1" applyBorder="1" applyAlignment="1" applyProtection="1">
      <alignment horizontal="center"/>
    </xf>
    <xf numFmtId="4" fontId="5" fillId="6" borderId="22" xfId="0" applyNumberFormat="1" applyFont="1" applyFill="1" applyBorder="1" applyAlignment="1" applyProtection="1">
      <alignment horizontal="center"/>
    </xf>
    <xf numFmtId="4" fontId="5" fillId="6" borderId="25" xfId="0" applyNumberFormat="1" applyFont="1" applyFill="1" applyBorder="1" applyAlignment="1" applyProtection="1">
      <alignment horizontal="center"/>
    </xf>
    <xf numFmtId="4" fontId="5" fillId="6" borderId="7" xfId="0" applyNumberFormat="1" applyFont="1" applyFill="1" applyBorder="1" applyAlignment="1" applyProtection="1">
      <alignment horizontal="center"/>
    </xf>
    <xf numFmtId="4" fontId="5" fillId="6" borderId="10" xfId="0" applyNumberFormat="1" applyFont="1" applyFill="1" applyBorder="1" applyAlignment="1" applyProtection="1">
      <alignment horizontal="center"/>
    </xf>
    <xf numFmtId="4" fontId="0" fillId="6" borderId="7" xfId="0" applyNumberFormat="1" applyFont="1" applyFill="1" applyBorder="1" applyAlignment="1" applyProtection="1">
      <alignment horizontal="center"/>
    </xf>
    <xf numFmtId="4" fontId="0" fillId="0" borderId="7" xfId="0" applyNumberFormat="1" applyFont="1" applyBorder="1" applyAlignment="1" applyProtection="1">
      <alignment horizontal="center"/>
    </xf>
    <xf numFmtId="4" fontId="5" fillId="5" borderId="7" xfId="0" applyNumberFormat="1" applyFont="1" applyFill="1" applyBorder="1" applyProtection="1"/>
    <xf numFmtId="4" fontId="5" fillId="5" borderId="10" xfId="0" applyNumberFormat="1" applyFont="1" applyFill="1" applyBorder="1" applyProtection="1"/>
    <xf numFmtId="4" fontId="4" fillId="0" borderId="7" xfId="0" applyNumberFormat="1" applyFont="1" applyBorder="1" applyAlignment="1" applyProtection="1">
      <alignment horizontal="center"/>
    </xf>
    <xf numFmtId="4" fontId="0" fillId="0" borderId="38" xfId="0" applyNumberFormat="1" applyFont="1" applyBorder="1" applyAlignment="1" applyProtection="1">
      <alignment horizontal="center"/>
    </xf>
    <xf numFmtId="4" fontId="0" fillId="6" borderId="32" xfId="0" applyNumberFormat="1" applyFont="1" applyFill="1" applyBorder="1" applyAlignment="1" applyProtection="1">
      <alignment horizontal="center"/>
    </xf>
    <xf numFmtId="4" fontId="0" fillId="6" borderId="48" xfId="0" applyNumberFormat="1" applyFont="1" applyFill="1" applyBorder="1" applyAlignment="1" applyProtection="1">
      <alignment horizontal="center"/>
    </xf>
    <xf numFmtId="4" fontId="0" fillId="5" borderId="7" xfId="0" applyNumberFormat="1" applyFont="1" applyFill="1" applyBorder="1" applyAlignment="1" applyProtection="1">
      <alignment horizontal="center"/>
    </xf>
    <xf numFmtId="4" fontId="0" fillId="0" borderId="22" xfId="0" applyNumberFormat="1" applyFont="1" applyFill="1" applyBorder="1" applyAlignment="1" applyProtection="1">
      <alignment horizontal="center"/>
    </xf>
    <xf numFmtId="0" fontId="5" fillId="5" borderId="7" xfId="0" applyNumberFormat="1" applyFont="1" applyFill="1" applyBorder="1" applyAlignment="1" applyProtection="1">
      <alignment horizontal="center"/>
    </xf>
    <xf numFmtId="0" fontId="5" fillId="5" borderId="10" xfId="0" applyNumberFormat="1" applyFont="1" applyFill="1" applyBorder="1" applyAlignment="1" applyProtection="1">
      <alignment horizontal="center"/>
    </xf>
    <xf numFmtId="0" fontId="0" fillId="0" borderId="6" xfId="0" applyFont="1" applyFill="1" applyBorder="1" applyAlignment="1" applyProtection="1"/>
    <xf numFmtId="0" fontId="0" fillId="0" borderId="6" xfId="0" applyFont="1" applyBorder="1" applyAlignment="1" applyProtection="1"/>
    <xf numFmtId="0" fontId="0" fillId="0" borderId="11" xfId="0" applyFont="1" applyBorder="1" applyAlignment="1" applyProtection="1"/>
    <xf numFmtId="10" fontId="0" fillId="2" borderId="7" xfId="0" applyNumberFormat="1" applyFont="1" applyFill="1" applyBorder="1" applyAlignment="1" applyProtection="1">
      <alignment horizontal="center"/>
    </xf>
    <xf numFmtId="0" fontId="9" fillId="0" borderId="0" xfId="0" applyFont="1" applyAlignment="1">
      <alignment horizontal="left" vertical="center"/>
    </xf>
    <xf numFmtId="0" fontId="0" fillId="0" borderId="0" xfId="0" applyAlignment="1">
      <alignment wrapText="1"/>
    </xf>
    <xf numFmtId="0" fontId="6" fillId="5" borderId="18" xfId="0" quotePrefix="1" applyFont="1" applyFill="1" applyBorder="1" applyAlignment="1">
      <alignment horizontal="center"/>
    </xf>
    <xf numFmtId="0" fontId="6" fillId="5" borderId="19" xfId="0" quotePrefix="1" applyFont="1" applyFill="1" applyBorder="1" applyAlignment="1">
      <alignment horizontal="center"/>
    </xf>
    <xf numFmtId="0" fontId="6" fillId="5" borderId="20" xfId="0" quotePrefix="1" applyFont="1" applyFill="1" applyBorder="1" applyAlignment="1">
      <alignment horizontal="center"/>
    </xf>
    <xf numFmtId="0" fontId="10" fillId="5" borderId="18" xfId="0" applyFont="1" applyFill="1" applyBorder="1" applyAlignment="1" applyProtection="1">
      <alignment horizontal="center" wrapText="1"/>
      <protection locked="0"/>
    </xf>
    <xf numFmtId="0" fontId="10" fillId="5" borderId="19" xfId="0" applyFont="1" applyFill="1" applyBorder="1" applyAlignment="1" applyProtection="1">
      <alignment horizontal="center" wrapText="1"/>
      <protection locked="0"/>
    </xf>
    <xf numFmtId="0" fontId="10" fillId="5" borderId="20" xfId="0" applyFont="1" applyFill="1" applyBorder="1" applyAlignment="1" applyProtection="1">
      <alignment horizontal="center" wrapText="1"/>
      <protection locked="0"/>
    </xf>
    <xf numFmtId="0" fontId="12" fillId="5" borderId="18" xfId="0" applyFont="1" applyFill="1" applyBorder="1" applyAlignment="1" applyProtection="1">
      <alignment horizontal="center" vertical="center" wrapText="1"/>
      <protection locked="0"/>
    </xf>
    <xf numFmtId="0" fontId="12" fillId="5" borderId="19" xfId="0" applyFont="1" applyFill="1" applyBorder="1" applyAlignment="1" applyProtection="1">
      <alignment horizontal="center" vertical="center" wrapText="1"/>
      <protection locked="0"/>
    </xf>
    <xf numFmtId="0" fontId="12" fillId="5" borderId="20" xfId="0" applyFont="1" applyFill="1" applyBorder="1" applyAlignment="1" applyProtection="1">
      <alignment horizontal="center" vertical="center" wrapText="1"/>
      <protection locked="0"/>
    </xf>
    <xf numFmtId="0" fontId="5" fillId="0" borderId="0" xfId="0" applyFont="1" applyBorder="1" applyProtection="1"/>
    <xf numFmtId="0" fontId="6" fillId="5" borderId="19" xfId="0" applyFont="1" applyFill="1" applyBorder="1" applyAlignment="1">
      <alignment horizontal="center"/>
    </xf>
    <xf numFmtId="0" fontId="6" fillId="5" borderId="20" xfId="0" applyFont="1" applyFill="1" applyBorder="1" applyAlignment="1">
      <alignment horizontal="center"/>
    </xf>
    <xf numFmtId="0" fontId="7" fillId="5" borderId="18" xfId="0" applyFont="1" applyFill="1" applyBorder="1" applyAlignment="1" applyProtection="1">
      <alignment horizontal="center" vertical="top" wrapText="1"/>
      <protection locked="0"/>
    </xf>
    <xf numFmtId="0" fontId="7" fillId="5" borderId="19" xfId="0" applyFont="1" applyFill="1" applyBorder="1" applyAlignment="1" applyProtection="1">
      <alignment horizontal="center" vertical="top" wrapText="1"/>
      <protection locked="0"/>
    </xf>
    <xf numFmtId="0" fontId="7" fillId="5" borderId="20" xfId="0" applyFont="1" applyFill="1" applyBorder="1" applyAlignment="1" applyProtection="1">
      <alignment horizontal="center" vertical="top" wrapText="1"/>
      <protection locked="0"/>
    </xf>
    <xf numFmtId="0" fontId="5" fillId="5" borderId="1" xfId="0" applyFont="1" applyFill="1" applyBorder="1" applyProtection="1"/>
    <xf numFmtId="0" fontId="5" fillId="5" borderId="2" xfId="0" applyFont="1" applyFill="1" applyBorder="1" applyProtection="1"/>
    <xf numFmtId="0" fontId="5" fillId="5" borderId="3" xfId="0" applyFont="1" applyFill="1" applyBorder="1" applyProtection="1"/>
    <xf numFmtId="0" fontId="5" fillId="5" borderId="18" xfId="0" applyFont="1" applyFill="1" applyBorder="1" applyAlignment="1" applyProtection="1">
      <alignment horizontal="center"/>
    </xf>
    <xf numFmtId="0" fontId="5" fillId="5" borderId="19" xfId="0" applyFont="1" applyFill="1" applyBorder="1" applyAlignment="1" applyProtection="1">
      <alignment horizontal="center"/>
    </xf>
    <xf numFmtId="0" fontId="5" fillId="5" borderId="20" xfId="0" applyFont="1" applyFill="1" applyBorder="1" applyAlignment="1" applyProtection="1">
      <alignment horizontal="center"/>
    </xf>
    <xf numFmtId="0" fontId="6" fillId="5" borderId="18" xfId="0" applyFont="1" applyFill="1" applyBorder="1" applyAlignment="1">
      <alignment horizontal="center"/>
    </xf>
    <xf numFmtId="0" fontId="6" fillId="5" borderId="18" xfId="0" applyFont="1" applyFill="1" applyBorder="1" applyAlignment="1" applyProtection="1">
      <alignment horizontal="center" wrapText="1"/>
      <protection locked="0"/>
    </xf>
    <xf numFmtId="0" fontId="6" fillId="5" borderId="19" xfId="0" applyFont="1" applyFill="1" applyBorder="1" applyAlignment="1" applyProtection="1">
      <alignment horizontal="center" wrapText="1"/>
      <protection locked="0"/>
    </xf>
    <xf numFmtId="0" fontId="6" fillId="5" borderId="20" xfId="0" applyFont="1" applyFill="1" applyBorder="1" applyAlignment="1" applyProtection="1">
      <alignment horizontal="center" wrapText="1"/>
      <protection locked="0"/>
    </xf>
    <xf numFmtId="0" fontId="9" fillId="5" borderId="18" xfId="0" applyFont="1" applyFill="1" applyBorder="1" applyAlignment="1">
      <alignment horizontal="center"/>
    </xf>
    <xf numFmtId="0" fontId="9" fillId="5" borderId="19" xfId="0" applyFont="1" applyFill="1" applyBorder="1" applyAlignment="1">
      <alignment horizontal="center"/>
    </xf>
    <xf numFmtId="0" fontId="9" fillId="5" borderId="20" xfId="0" applyFont="1" applyFill="1" applyBorder="1" applyAlignment="1">
      <alignment horizontal="center"/>
    </xf>
    <xf numFmtId="0" fontId="11" fillId="5" borderId="15" xfId="0" applyFont="1" applyFill="1" applyBorder="1" applyAlignment="1">
      <alignment horizontal="center"/>
    </xf>
    <xf numFmtId="0" fontId="11" fillId="5" borderId="16" xfId="0" applyFont="1" applyFill="1" applyBorder="1" applyAlignment="1">
      <alignment horizontal="center"/>
    </xf>
    <xf numFmtId="0" fontId="11" fillId="5" borderId="17" xfId="0" applyFont="1" applyFill="1" applyBorder="1" applyAlignment="1">
      <alignment horizontal="center"/>
    </xf>
    <xf numFmtId="0" fontId="8" fillId="5" borderId="40" xfId="0" applyFont="1" applyFill="1" applyBorder="1" applyAlignment="1">
      <alignment horizontal="center"/>
    </xf>
    <xf numFmtId="0" fontId="8" fillId="5" borderId="42" xfId="0" applyFont="1" applyFill="1" applyBorder="1" applyAlignment="1">
      <alignment horizontal="center"/>
    </xf>
    <xf numFmtId="0" fontId="8" fillId="5" borderId="43" xfId="0" applyFont="1" applyFill="1" applyBorder="1" applyAlignment="1">
      <alignment horizontal="center"/>
    </xf>
    <xf numFmtId="0" fontId="8" fillId="5" borderId="44" xfId="0" applyFont="1" applyFill="1" applyBorder="1" applyAlignment="1">
      <alignment horizontal="center"/>
    </xf>
    <xf numFmtId="0" fontId="0" fillId="8" borderId="11" xfId="0" applyFont="1" applyFill="1" applyBorder="1" applyAlignment="1">
      <alignment horizontal="center" textRotation="90"/>
    </xf>
    <xf numFmtId="0" fontId="0" fillId="8" borderId="8" xfId="0" applyFont="1" applyFill="1" applyBorder="1" applyAlignment="1">
      <alignment horizontal="center" textRotation="90"/>
    </xf>
    <xf numFmtId="0" fontId="0" fillId="8" borderId="9" xfId="0" applyFont="1" applyFill="1" applyBorder="1" applyAlignment="1">
      <alignment horizontal="center" textRotation="90"/>
    </xf>
    <xf numFmtId="0" fontId="0" fillId="8" borderId="34" xfId="0" applyFont="1" applyFill="1" applyBorder="1" applyAlignment="1">
      <alignment horizontal="center" textRotation="90"/>
    </xf>
    <xf numFmtId="0" fontId="0" fillId="8" borderId="11" xfId="0" applyFont="1" applyFill="1" applyBorder="1" applyAlignment="1">
      <alignment horizontal="center" textRotation="90" wrapText="1"/>
    </xf>
    <xf numFmtId="0" fontId="0" fillId="8" borderId="8" xfId="0" applyFont="1" applyFill="1" applyBorder="1" applyAlignment="1">
      <alignment horizontal="center" textRotation="90" wrapText="1"/>
    </xf>
    <xf numFmtId="0" fontId="0" fillId="8" borderId="9" xfId="0" applyFont="1" applyFill="1" applyBorder="1" applyAlignment="1">
      <alignment horizontal="center" textRotation="90" wrapText="1"/>
    </xf>
  </cellXfs>
  <cellStyles count="2">
    <cellStyle name="Normal" xfId="0" builtinId="0"/>
    <cellStyle name="Percent" xfId="1" builtinId="5"/>
  </cellStyles>
  <dxfs count="6">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6600824</xdr:colOff>
      <xdr:row>52</xdr:row>
      <xdr:rowOff>155574</xdr:rowOff>
    </xdr:from>
    <xdr:to>
      <xdr:col>1</xdr:col>
      <xdr:colOff>371475</xdr:colOff>
      <xdr:row>55</xdr:row>
      <xdr:rowOff>95249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00824" y="11023599"/>
          <a:ext cx="1571626" cy="511175"/>
        </a:xfrm>
        <a:prstGeom prst="rect">
          <a:avLst/>
        </a:prstGeom>
      </xdr:spPr>
    </xdr:pic>
    <xdr:clientData/>
  </xdr:twoCellAnchor>
  <xdr:twoCellAnchor editAs="oneCell">
    <xdr:from>
      <xdr:col>0</xdr:col>
      <xdr:colOff>9525</xdr:colOff>
      <xdr:row>16</xdr:row>
      <xdr:rowOff>104775</xdr:rowOff>
    </xdr:from>
    <xdr:to>
      <xdr:col>0</xdr:col>
      <xdr:colOff>7552383</xdr:colOff>
      <xdr:row>43</xdr:row>
      <xdr:rowOff>151752</xdr:rowOff>
    </xdr:to>
    <xdr:pic>
      <xdr:nvPicPr>
        <xdr:cNvPr id="3" name="Picture 2"/>
        <xdr:cNvPicPr>
          <a:picLocks noChangeAspect="1"/>
        </xdr:cNvPicPr>
      </xdr:nvPicPr>
      <xdr:blipFill>
        <a:blip xmlns:r="http://schemas.openxmlformats.org/officeDocument/2006/relationships" r:embed="rId2"/>
        <a:stretch>
          <a:fillRect/>
        </a:stretch>
      </xdr:blipFill>
      <xdr:spPr>
        <a:xfrm>
          <a:off x="9525" y="3152775"/>
          <a:ext cx="7542858" cy="5190477"/>
        </a:xfrm>
        <a:prstGeom prst="rect">
          <a:avLst/>
        </a:prstGeom>
      </xdr:spPr>
    </xdr:pic>
    <xdr:clientData/>
  </xdr:twoCellAnchor>
  <xdr:twoCellAnchor>
    <xdr:from>
      <xdr:col>0</xdr:col>
      <xdr:colOff>0</xdr:colOff>
      <xdr:row>0</xdr:row>
      <xdr:rowOff>0</xdr:rowOff>
    </xdr:from>
    <xdr:to>
      <xdr:col>0</xdr:col>
      <xdr:colOff>7781924</xdr:colOff>
      <xdr:row>14</xdr:row>
      <xdr:rowOff>19050</xdr:rowOff>
    </xdr:to>
    <xdr:grpSp>
      <xdr:nvGrpSpPr>
        <xdr:cNvPr id="5" name="Group 4"/>
        <xdr:cNvGrpSpPr/>
      </xdr:nvGrpSpPr>
      <xdr:grpSpPr>
        <a:xfrm>
          <a:off x="0" y="0"/>
          <a:ext cx="7781924" cy="2686050"/>
          <a:chOff x="16778" y="0"/>
          <a:chExt cx="6291728" cy="2331697"/>
        </a:xfrm>
      </xdr:grpSpPr>
      <xdr:sp macro="" textlink="">
        <xdr:nvSpPr>
          <xdr:cNvPr id="6" name="Rectangle 5"/>
          <xdr:cNvSpPr/>
        </xdr:nvSpPr>
        <xdr:spPr>
          <a:xfrm>
            <a:off x="16778" y="0"/>
            <a:ext cx="6275306" cy="1191895"/>
          </a:xfrm>
          <a:prstGeom prst="rect">
            <a:avLst/>
          </a:prstGeom>
          <a:solidFill>
            <a:schemeClr val="accent2">
              <a:lumMod val="60000"/>
              <a:lumOff val="40000"/>
            </a:schemeClr>
          </a:solidFill>
          <a:ln>
            <a:solidFill>
              <a:schemeClr val="accent2">
                <a:lumMod val="60000"/>
                <a:lumOff val="40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7" name="Rectangle 6"/>
          <xdr:cNvSpPr/>
        </xdr:nvSpPr>
        <xdr:spPr>
          <a:xfrm>
            <a:off x="16778" y="1191237"/>
            <a:ext cx="6280150" cy="1140460"/>
          </a:xfrm>
          <a:prstGeom prst="rect">
            <a:avLst/>
          </a:prstGeom>
          <a:solidFill>
            <a:schemeClr val="bg1"/>
          </a:solidFill>
          <a:ln w="19050">
            <a:solidFill>
              <a:schemeClr val="accent2">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8" name="Text Box 2"/>
          <xdr:cNvSpPr txBox="1">
            <a:spLocks noChangeArrowheads="1"/>
          </xdr:cNvSpPr>
        </xdr:nvSpPr>
        <xdr:spPr bwMode="auto">
          <a:xfrm>
            <a:off x="2139193" y="0"/>
            <a:ext cx="4169313" cy="119380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tabLst>
                <a:tab pos="2114550" algn="l"/>
              </a:tabLst>
            </a:pPr>
            <a:r>
              <a:rPr lang="en-US" sz="2000">
                <a:effectLst/>
                <a:latin typeface="Calibri"/>
                <a:ea typeface="Calibri"/>
                <a:cs typeface="Times New Roman"/>
              </a:rPr>
              <a:t>Southwest British Columbia</a:t>
            </a:r>
            <a:r>
              <a:rPr lang="en-US" sz="2000" b="1">
                <a:effectLst/>
                <a:latin typeface="Calibri"/>
                <a:ea typeface="Calibri"/>
                <a:cs typeface="Times New Roman"/>
              </a:rPr>
              <a:t> </a:t>
            </a:r>
            <a:endParaRPr lang="en-US" sz="1100">
              <a:effectLst/>
              <a:latin typeface="Calibri"/>
              <a:ea typeface="Calibri"/>
              <a:cs typeface="Times New Roman"/>
            </a:endParaRPr>
          </a:p>
          <a:p>
            <a:pPr marL="0" marR="0" algn="r">
              <a:lnSpc>
                <a:spcPct val="115000"/>
              </a:lnSpc>
              <a:spcBef>
                <a:spcPts val="0"/>
              </a:spcBef>
              <a:spcAft>
                <a:spcPts val="0"/>
              </a:spcAft>
              <a:tabLst>
                <a:tab pos="2114550" algn="l"/>
              </a:tabLst>
            </a:pPr>
            <a:r>
              <a:rPr lang="en-US" sz="2000">
                <a:effectLst/>
                <a:latin typeface="Calibri"/>
                <a:ea typeface="Calibri"/>
                <a:cs typeface="Times New Roman"/>
              </a:rPr>
              <a:t>Small-Scale Farm Enterprise Budget: </a:t>
            </a:r>
            <a:endParaRPr lang="en-US" sz="1100">
              <a:effectLst/>
              <a:latin typeface="Calibri"/>
              <a:ea typeface="Calibri"/>
              <a:cs typeface="Times New Roman"/>
            </a:endParaRPr>
          </a:p>
          <a:p>
            <a:pPr marL="0" marR="0" algn="r">
              <a:lnSpc>
                <a:spcPct val="115000"/>
              </a:lnSpc>
              <a:spcBef>
                <a:spcPts val="0"/>
              </a:spcBef>
              <a:spcAft>
                <a:spcPts val="1000"/>
              </a:spcAft>
              <a:tabLst>
                <a:tab pos="2114550" algn="l"/>
              </a:tabLst>
            </a:pPr>
            <a:r>
              <a:rPr lang="en-US" sz="2400" b="1">
                <a:effectLst/>
                <a:latin typeface="Calibri"/>
                <a:ea typeface="Calibri"/>
                <a:cs typeface="Times New Roman"/>
              </a:rPr>
              <a:t>Meat Goat </a:t>
            </a:r>
            <a:endParaRPr lang="en-US" sz="1100">
              <a:effectLst/>
              <a:latin typeface="Calibri"/>
              <a:ea typeface="Calibri"/>
              <a:cs typeface="Times New Roman"/>
            </a:endParaRPr>
          </a:p>
        </xdr:txBody>
      </xdr:sp>
      <xdr:sp macro="" textlink="">
        <xdr:nvSpPr>
          <xdr:cNvPr id="9" name="Text Box 2"/>
          <xdr:cNvSpPr txBox="1">
            <a:spLocks noChangeArrowheads="1"/>
          </xdr:cNvSpPr>
        </xdr:nvSpPr>
        <xdr:spPr bwMode="auto">
          <a:xfrm>
            <a:off x="2583809" y="1191237"/>
            <a:ext cx="3712210" cy="1140460"/>
          </a:xfrm>
          <a:prstGeom prst="rect">
            <a:avLst/>
          </a:prstGeom>
          <a:noFill/>
          <a:ln w="9525">
            <a:noFill/>
            <a:miter lim="800000"/>
            <a:headEnd/>
            <a:tailEnd/>
          </a:ln>
        </xdr:spPr>
        <xdr:txBody>
          <a:bodyPr rot="0" vert="horz" wrap="square" lIns="91440" tIns="45720" rIns="91440" bIns="45720" anchor="ctr" anchorCtr="0">
            <a:noAutofit/>
          </a:bodyPr>
          <a:lstStyle/>
          <a:p>
            <a:pPr marL="0" marR="0" algn="r">
              <a:lnSpc>
                <a:spcPct val="115000"/>
              </a:lnSpc>
              <a:spcBef>
                <a:spcPts val="0"/>
              </a:spcBef>
              <a:spcAft>
                <a:spcPts val="0"/>
              </a:spcAft>
            </a:pPr>
            <a:r>
              <a:rPr lang="en-US" sz="1600">
                <a:effectLst/>
                <a:latin typeface="Calibri"/>
                <a:ea typeface="Calibri"/>
                <a:cs typeface="Times New Roman"/>
              </a:rPr>
              <a:t>Technical Bulletin 2015-021</a:t>
            </a:r>
            <a:endParaRPr lang="en-US" sz="1100">
              <a:effectLst/>
              <a:latin typeface="Calibri"/>
              <a:ea typeface="Calibri"/>
              <a:cs typeface="Times New Roman"/>
            </a:endParaRPr>
          </a:p>
          <a:p>
            <a:pPr marL="0" marR="0" algn="r">
              <a:lnSpc>
                <a:spcPct val="115000"/>
              </a:lnSpc>
              <a:spcBef>
                <a:spcPts val="0"/>
              </a:spcBef>
              <a:spcAft>
                <a:spcPts val="0"/>
              </a:spcAft>
            </a:pPr>
            <a:r>
              <a:rPr lang="en-US" sz="1600">
                <a:effectLst/>
                <a:latin typeface="Calibri"/>
                <a:ea typeface="Calibri"/>
                <a:cs typeface="Times New Roman"/>
              </a:rPr>
              <a:t>kpu.ca/isfs</a:t>
            </a:r>
            <a:endParaRPr lang="en-US" sz="1100">
              <a:effectLst/>
              <a:latin typeface="Calibri"/>
              <a:ea typeface="Calibri"/>
              <a:cs typeface="Times New Roman"/>
            </a:endParaRPr>
          </a:p>
        </xdr:txBody>
      </xdr:sp>
      <xdr:grpSp>
        <xdr:nvGrpSpPr>
          <xdr:cNvPr id="10" name="Group 9"/>
          <xdr:cNvGrpSpPr/>
        </xdr:nvGrpSpPr>
        <xdr:grpSpPr>
          <a:xfrm>
            <a:off x="67112" y="1266738"/>
            <a:ext cx="2524125" cy="1021715"/>
            <a:chOff x="0" y="0"/>
            <a:chExt cx="2524125" cy="1021715"/>
          </a:xfrm>
        </xdr:grpSpPr>
        <xdr:sp macro="" textlink="">
          <xdr:nvSpPr>
            <xdr:cNvPr id="11" name="Text Box 5"/>
            <xdr:cNvSpPr txBox="1">
              <a:spLocks noChangeArrowheads="1"/>
            </xdr:cNvSpPr>
          </xdr:nvSpPr>
          <xdr:spPr bwMode="auto">
            <a:xfrm>
              <a:off x="0" y="600075"/>
              <a:ext cx="2314575" cy="42164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chemeClr val="dk1">
                      <a:lumMod val="0"/>
                      <a:lumOff val="0"/>
                    </a:schemeClr>
                  </a:solidFill>
                  <a:miter lim="800000"/>
                  <a:headEnd/>
                  <a:tailEnd/>
                </a14:hiddenLine>
              </a:ext>
              <a:ext uri="{AF507438-7753-43E0-B8FC-AC1667EBCBE1}">
                <a14:hiddenEffects xmlns:a14="http://schemas.microsoft.com/office/drawing/2010/main">
                  <a:effectLst/>
                </a14:hiddenEffects>
              </a:ext>
            </a:extLst>
          </xdr:spPr>
          <xdr:txBody>
            <a:bodyPr rot="0" vert="horz" wrap="square" lIns="36576" tIns="36576" rIns="36576" bIns="36576" anchor="t" anchorCtr="0" upright="1">
              <a:noAutofit/>
            </a:bodyPr>
            <a:lstStyle/>
            <a:p>
              <a:pPr marL="0" marR="0">
                <a:lnSpc>
                  <a:spcPct val="115000"/>
                </a:lnSpc>
                <a:spcBef>
                  <a:spcPts val="0"/>
                </a:spcBef>
                <a:spcAft>
                  <a:spcPts val="0"/>
                </a:spcAft>
              </a:pPr>
              <a:r>
                <a:rPr lang="en-US" sz="1100">
                  <a:effectLst/>
                  <a:latin typeface="Calibri"/>
                  <a:ea typeface="Calibri"/>
                  <a:cs typeface="Calibri"/>
                </a:rPr>
                <a:t>Institute for Sustainable Food Systems</a:t>
              </a:r>
              <a:endParaRPr lang="en-US" sz="1100">
                <a:effectLst/>
                <a:latin typeface="Calibri"/>
                <a:ea typeface="Calibri"/>
                <a:cs typeface="Times New Roman"/>
              </a:endParaRPr>
            </a:p>
            <a:p>
              <a:pPr marL="0" marR="0">
                <a:lnSpc>
                  <a:spcPct val="115000"/>
                </a:lnSpc>
                <a:spcBef>
                  <a:spcPts val="0"/>
                </a:spcBef>
                <a:spcAft>
                  <a:spcPts val="1000"/>
                </a:spcAft>
              </a:pPr>
              <a:r>
                <a:rPr lang="en-US" sz="1100">
                  <a:effectLst/>
                  <a:latin typeface="Calibri"/>
                  <a:ea typeface="Calibri"/>
                  <a:cs typeface="Calibri"/>
                </a:rPr>
                <a:t>Kwantlen Polytechnic University</a:t>
              </a:r>
              <a:endParaRPr lang="en-US" sz="1100">
                <a:effectLst/>
                <a:latin typeface="Calibri"/>
                <a:ea typeface="Calibri"/>
                <a:cs typeface="Times New Roman"/>
              </a:endParaRPr>
            </a:p>
          </xdr:txBody>
        </xdr:sp>
        <xdr:pic>
          <xdr:nvPicPr>
            <xdr:cNvPr id="12" name="Picture 11" descr="kpu-Institute-Sustainable-Food-Systems_SPOT"/>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0"/>
              <a:ext cx="2524125" cy="647700"/>
            </a:xfrm>
            <a:prstGeom prst="rect">
              <a:avLst/>
            </a:prstGeom>
            <a:noFill/>
            <a:ln>
              <a:noFill/>
            </a:ln>
            <a:effectLst/>
          </xdr:spPr>
        </xdr:pic>
        <xdr:sp macro="" textlink="">
          <xdr:nvSpPr>
            <xdr:cNvPr id="13" name="Rectangle 12"/>
            <xdr:cNvSpPr/>
          </xdr:nvSpPr>
          <xdr:spPr>
            <a:xfrm>
              <a:off x="695325" y="304800"/>
              <a:ext cx="1828165" cy="32639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grpSp>
    </xdr:grpSp>
    <xdr:clientData/>
  </xdr:twoCellAnchor>
  <xdr:twoCellAnchor editAs="oneCell">
    <xdr:from>
      <xdr:col>0</xdr:col>
      <xdr:colOff>0</xdr:colOff>
      <xdr:row>0</xdr:row>
      <xdr:rowOff>0</xdr:rowOff>
    </xdr:from>
    <xdr:to>
      <xdr:col>0</xdr:col>
      <xdr:colOff>1543050</xdr:colOff>
      <xdr:row>7</xdr:row>
      <xdr:rowOff>47624</xdr:rowOff>
    </xdr:to>
    <xdr:pic>
      <xdr:nvPicPr>
        <xdr:cNvPr id="14" name="Picture 13" descr="N:\dept\ISFS\Domain Research - Create a Folder for Your Team in Here - Public\Economics Domain\Enterprise Budgets\ENTERPRISE BUDGETS\Published Budgets\Pictures for Wallapak\93209836.jpg"/>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0"/>
          <a:ext cx="1543050" cy="1381124"/>
        </a:xfrm>
        <a:prstGeom prst="rect">
          <a:avLst/>
        </a:prstGeom>
        <a:ln>
          <a:noFill/>
        </a:ln>
        <a:effectLst>
          <a:softEdge rad="112500"/>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7:A55"/>
  <sheetViews>
    <sheetView showGridLines="0" tabSelected="1" workbookViewId="0">
      <selection activeCell="A51" sqref="A51"/>
    </sheetView>
  </sheetViews>
  <sheetFormatPr defaultRowHeight="15" x14ac:dyDescent="0.25"/>
  <cols>
    <col min="1" max="1" width="117" customWidth="1"/>
  </cols>
  <sheetData>
    <row r="47" spans="1:1" ht="15.75" x14ac:dyDescent="0.25">
      <c r="A47" s="276" t="s">
        <v>147</v>
      </c>
    </row>
    <row r="49" spans="1:1" ht="90" x14ac:dyDescent="0.25">
      <c r="A49" s="277" t="s">
        <v>150</v>
      </c>
    </row>
    <row r="54" spans="1:1" x14ac:dyDescent="0.25">
      <c r="A54" t="s">
        <v>148</v>
      </c>
    </row>
    <row r="55" spans="1:1" x14ac:dyDescent="0.25">
      <c r="A55" t="s">
        <v>149</v>
      </c>
    </row>
  </sheetData>
  <sheetProtection password="EB59"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6"/>
  <sheetViews>
    <sheetView topLeftCell="A16" zoomScale="90" zoomScaleNormal="90" workbookViewId="0">
      <selection activeCell="F15" sqref="F15"/>
    </sheetView>
  </sheetViews>
  <sheetFormatPr defaultRowHeight="15" x14ac:dyDescent="0.25"/>
  <cols>
    <col min="1" max="1" width="9.140625" style="1"/>
    <col min="2" max="2" width="45.42578125" style="1" bestFit="1" customWidth="1"/>
    <col min="3" max="3" width="17" style="1" bestFit="1" customWidth="1"/>
    <col min="4" max="4" width="16.140625" style="1" customWidth="1"/>
    <col min="5" max="5" width="12.5703125" style="38" customWidth="1"/>
    <col min="6" max="6" width="14.140625" style="1" bestFit="1" customWidth="1"/>
    <col min="7" max="7" width="15" style="2" customWidth="1"/>
    <col min="8" max="8" width="16" style="39" bestFit="1" customWidth="1"/>
    <col min="9" max="9" width="20.5703125" style="40" bestFit="1" customWidth="1"/>
    <col min="10" max="10" width="12.140625" style="1" bestFit="1" customWidth="1"/>
    <col min="11" max="11" width="14.5703125" style="1" customWidth="1"/>
    <col min="12" max="12" width="13.7109375" style="1" bestFit="1" customWidth="1"/>
    <col min="13" max="13" width="8.5703125" style="1" bestFit="1" customWidth="1"/>
    <col min="14" max="14" width="14.7109375" style="1" bestFit="1" customWidth="1"/>
    <col min="15" max="16384" width="9.140625" style="1"/>
  </cols>
  <sheetData>
    <row r="1" spans="2:14" ht="15.75" thickBot="1" x14ac:dyDescent="0.3"/>
    <row r="2" spans="2:14" ht="19.5" thickBot="1" x14ac:dyDescent="0.35">
      <c r="B2" s="278" t="s">
        <v>132</v>
      </c>
      <c r="C2" s="279"/>
      <c r="D2" s="279"/>
      <c r="E2" s="279"/>
      <c r="F2" s="279"/>
      <c r="G2" s="279"/>
      <c r="H2" s="279"/>
      <c r="I2" s="279"/>
      <c r="J2" s="279"/>
      <c r="K2" s="279"/>
      <c r="L2" s="279"/>
      <c r="M2" s="279"/>
      <c r="N2" s="280"/>
    </row>
    <row r="3" spans="2:14" ht="100.5" customHeight="1" thickBot="1" x14ac:dyDescent="0.3">
      <c r="B3" s="281" t="s">
        <v>41</v>
      </c>
      <c r="C3" s="282"/>
      <c r="D3" s="282"/>
      <c r="E3" s="282"/>
      <c r="F3" s="282"/>
      <c r="G3" s="282"/>
      <c r="H3" s="282"/>
      <c r="I3" s="282"/>
      <c r="J3" s="282"/>
      <c r="K3" s="282"/>
      <c r="L3" s="282"/>
      <c r="M3" s="282"/>
      <c r="N3" s="283"/>
    </row>
    <row r="4" spans="2:14" ht="19.5" thickBot="1" x14ac:dyDescent="0.3">
      <c r="B4" s="284" t="s">
        <v>44</v>
      </c>
      <c r="C4" s="285"/>
      <c r="D4" s="285"/>
      <c r="E4" s="285"/>
      <c r="F4" s="285"/>
      <c r="G4" s="285"/>
      <c r="H4" s="285"/>
      <c r="I4" s="285"/>
      <c r="J4" s="285"/>
      <c r="K4" s="285"/>
      <c r="L4" s="285"/>
      <c r="M4" s="285"/>
      <c r="N4" s="286"/>
    </row>
    <row r="5" spans="2:14" ht="32.25" thickBot="1" x14ac:dyDescent="0.3">
      <c r="B5" s="241" t="s">
        <v>0</v>
      </c>
      <c r="C5" s="193" t="s">
        <v>93</v>
      </c>
      <c r="D5" s="194" t="s">
        <v>4</v>
      </c>
      <c r="E5" s="195" t="s">
        <v>5</v>
      </c>
      <c r="F5" s="195" t="s">
        <v>47</v>
      </c>
      <c r="G5" s="196" t="s">
        <v>48</v>
      </c>
      <c r="H5" s="196" t="s">
        <v>49</v>
      </c>
      <c r="I5" s="197" t="s">
        <v>10</v>
      </c>
      <c r="J5" s="195" t="s">
        <v>34</v>
      </c>
      <c r="K5" s="195" t="s">
        <v>50</v>
      </c>
      <c r="L5" s="195" t="s">
        <v>19</v>
      </c>
      <c r="M5" s="195" t="s">
        <v>21</v>
      </c>
      <c r="N5" s="195" t="s">
        <v>51</v>
      </c>
    </row>
    <row r="6" spans="2:14" ht="15.75" thickBot="1" x14ac:dyDescent="0.3">
      <c r="B6" s="242" t="s">
        <v>32</v>
      </c>
      <c r="C6" s="41"/>
      <c r="D6" s="42"/>
      <c r="E6" s="43"/>
      <c r="F6" s="44"/>
      <c r="G6" s="45"/>
      <c r="H6" s="46"/>
      <c r="I6" s="47"/>
      <c r="J6" s="44"/>
      <c r="K6" s="48"/>
      <c r="L6" s="49"/>
      <c r="M6" s="50">
        <v>0.05</v>
      </c>
      <c r="N6" s="48"/>
    </row>
    <row r="7" spans="2:14" x14ac:dyDescent="0.25">
      <c r="B7" s="100" t="s">
        <v>11</v>
      </c>
      <c r="C7" s="222"/>
      <c r="D7" s="155"/>
      <c r="E7" s="198"/>
      <c r="F7" s="199"/>
      <c r="G7" s="200"/>
      <c r="H7" s="200"/>
      <c r="I7" s="201"/>
      <c r="J7" s="199"/>
      <c r="K7" s="202"/>
      <c r="L7" s="203"/>
      <c r="M7" s="199"/>
      <c r="N7" s="202"/>
    </row>
    <row r="8" spans="2:14" s="36" customFormat="1" x14ac:dyDescent="0.25">
      <c r="B8" s="243" t="s">
        <v>88</v>
      </c>
      <c r="C8" s="59"/>
      <c r="D8" s="6" t="s">
        <v>36</v>
      </c>
      <c r="E8" s="223">
        <v>20</v>
      </c>
      <c r="F8" s="224">
        <v>300</v>
      </c>
      <c r="G8" s="217">
        <f>IF(E8&gt;0, E8*F8, F8)</f>
        <v>6000</v>
      </c>
      <c r="H8" s="224">
        <f>105*E8</f>
        <v>2100</v>
      </c>
      <c r="I8" s="225">
        <v>8</v>
      </c>
      <c r="J8" s="101"/>
      <c r="K8" s="226"/>
      <c r="L8" s="221">
        <f>IF(I8&gt;0,(G8-H8)/I8,0)</f>
        <v>487.5</v>
      </c>
      <c r="M8" s="102">
        <f>$M$6*((G8+H8)/2)</f>
        <v>202.5</v>
      </c>
      <c r="N8" s="103">
        <f>L8+M8</f>
        <v>690</v>
      </c>
    </row>
    <row r="9" spans="2:14" x14ac:dyDescent="0.25">
      <c r="B9" s="243" t="s">
        <v>89</v>
      </c>
      <c r="C9" s="59"/>
      <c r="D9" s="6" t="s">
        <v>57</v>
      </c>
      <c r="E9" s="60">
        <v>1</v>
      </c>
      <c r="F9" s="61">
        <v>700</v>
      </c>
      <c r="G9" s="62">
        <f>IF(E9&gt;0, E9*F9, F9)</f>
        <v>700</v>
      </c>
      <c r="H9" s="61">
        <f>150*E9</f>
        <v>150</v>
      </c>
      <c r="I9" s="63">
        <v>5</v>
      </c>
      <c r="J9" s="21"/>
      <c r="K9" s="64"/>
      <c r="L9" s="221">
        <f>IF(I9&gt;0,(G9-H9)/I9,0)</f>
        <v>110</v>
      </c>
      <c r="M9" s="102">
        <f>$M$6*((G9+H9)/2)</f>
        <v>21.25</v>
      </c>
      <c r="N9" s="23">
        <f>L9+M9</f>
        <v>131.25</v>
      </c>
    </row>
    <row r="10" spans="2:14" ht="15.75" thickBot="1" x14ac:dyDescent="0.3">
      <c r="B10" s="244" t="s">
        <v>9</v>
      </c>
      <c r="C10" s="65"/>
      <c r="D10" s="66"/>
      <c r="E10" s="67"/>
      <c r="F10" s="68"/>
      <c r="G10" s="69"/>
      <c r="H10" s="69"/>
      <c r="I10" s="70"/>
      <c r="J10" s="24">
        <f>SUM(J8:J9)</f>
        <v>0</v>
      </c>
      <c r="K10" s="24">
        <f>SUM(K8:K9)</f>
        <v>0</v>
      </c>
      <c r="L10" s="71"/>
      <c r="M10" s="24"/>
      <c r="N10" s="25">
        <f>SUM(N8:N9)</f>
        <v>821.25</v>
      </c>
    </row>
    <row r="11" spans="2:14" ht="15.75" thickBot="1" x14ac:dyDescent="0.3">
      <c r="B11" s="72"/>
      <c r="C11" s="252"/>
      <c r="D11" s="73"/>
      <c r="E11" s="73"/>
      <c r="F11" s="73"/>
      <c r="G11" s="73"/>
      <c r="H11" s="73"/>
      <c r="I11" s="73"/>
      <c r="J11" s="73"/>
      <c r="K11" s="74"/>
      <c r="L11" s="73"/>
      <c r="M11" s="73"/>
      <c r="N11" s="74"/>
    </row>
    <row r="12" spans="2:14" x14ac:dyDescent="0.25">
      <c r="B12" s="245" t="s">
        <v>14</v>
      </c>
      <c r="C12" s="51"/>
      <c r="D12" s="52"/>
      <c r="E12" s="53"/>
      <c r="F12" s="54"/>
      <c r="G12" s="55"/>
      <c r="H12" s="55"/>
      <c r="I12" s="56"/>
      <c r="J12" s="54"/>
      <c r="K12" s="57"/>
      <c r="L12" s="58"/>
      <c r="M12" s="75"/>
      <c r="N12" s="57"/>
    </row>
    <row r="13" spans="2:14" x14ac:dyDescent="0.25">
      <c r="B13" s="243" t="s">
        <v>92</v>
      </c>
      <c r="C13" s="59"/>
      <c r="D13" s="6"/>
      <c r="E13" s="60"/>
      <c r="F13" s="61">
        <v>1200</v>
      </c>
      <c r="G13" s="62">
        <f>IF(E13&gt;0, E13*F13, F13)</f>
        <v>1200</v>
      </c>
      <c r="H13" s="61">
        <v>0</v>
      </c>
      <c r="I13" s="63">
        <v>20</v>
      </c>
      <c r="J13" s="21"/>
      <c r="K13" s="64"/>
      <c r="L13" s="221">
        <f>IF(I13&gt;0,(G13-H13)/I13,0)</f>
        <v>60</v>
      </c>
      <c r="M13" s="102">
        <f>$M$6*((G13+H13)/2)</f>
        <v>30</v>
      </c>
      <c r="N13" s="23">
        <f t="shared" ref="N13:N17" si="0">L13+M13</f>
        <v>90</v>
      </c>
    </row>
    <row r="14" spans="2:14" x14ac:dyDescent="0.25">
      <c r="B14" s="243" t="s">
        <v>98</v>
      </c>
      <c r="C14" s="59" t="s">
        <v>94</v>
      </c>
      <c r="D14" s="6" t="s">
        <v>90</v>
      </c>
      <c r="E14" s="60">
        <v>13</v>
      </c>
      <c r="F14" s="61">
        <v>120</v>
      </c>
      <c r="G14" s="62">
        <f>IF(E14&gt;0, E14*F14, F14)</f>
        <v>1560</v>
      </c>
      <c r="H14" s="61">
        <v>0</v>
      </c>
      <c r="I14" s="63">
        <v>20</v>
      </c>
      <c r="J14" s="21"/>
      <c r="K14" s="64"/>
      <c r="L14" s="221">
        <f t="shared" ref="L14:L17" si="1">IF(I14&gt;0,(G14-H14)/I14,0)</f>
        <v>78</v>
      </c>
      <c r="M14" s="102">
        <f t="shared" ref="M14:M17" si="2">$M$6*((G14+H14)/2)</f>
        <v>39</v>
      </c>
      <c r="N14" s="23">
        <f t="shared" si="0"/>
        <v>117</v>
      </c>
    </row>
    <row r="15" spans="2:14" x14ac:dyDescent="0.25">
      <c r="B15" s="243" t="s">
        <v>97</v>
      </c>
      <c r="C15" s="59" t="s">
        <v>95</v>
      </c>
      <c r="D15" s="6" t="s">
        <v>90</v>
      </c>
      <c r="E15" s="60">
        <v>20</v>
      </c>
      <c r="F15" s="61">
        <v>120</v>
      </c>
      <c r="G15" s="62">
        <f t="shared" ref="G15:G17" si="3">IF(E15&gt;0, E15*F15, F15)</f>
        <v>2400</v>
      </c>
      <c r="H15" s="61">
        <v>0</v>
      </c>
      <c r="I15" s="63">
        <v>20</v>
      </c>
      <c r="J15" s="21"/>
      <c r="K15" s="64"/>
      <c r="L15" s="221">
        <f t="shared" si="1"/>
        <v>120</v>
      </c>
      <c r="M15" s="102">
        <f t="shared" si="2"/>
        <v>60</v>
      </c>
      <c r="N15" s="23">
        <f t="shared" si="0"/>
        <v>180</v>
      </c>
    </row>
    <row r="16" spans="2:14" x14ac:dyDescent="0.25">
      <c r="B16" s="243" t="s">
        <v>99</v>
      </c>
      <c r="C16" s="59" t="s">
        <v>96</v>
      </c>
      <c r="D16" s="6" t="s">
        <v>90</v>
      </c>
      <c r="E16" s="60">
        <v>4</v>
      </c>
      <c r="F16" s="61">
        <v>120</v>
      </c>
      <c r="G16" s="62">
        <f t="shared" si="3"/>
        <v>480</v>
      </c>
      <c r="H16" s="61">
        <v>0</v>
      </c>
      <c r="I16" s="63">
        <v>20</v>
      </c>
      <c r="J16" s="21"/>
      <c r="K16" s="64"/>
      <c r="L16" s="221">
        <f t="shared" si="1"/>
        <v>24</v>
      </c>
      <c r="M16" s="102">
        <f t="shared" si="2"/>
        <v>12</v>
      </c>
      <c r="N16" s="23">
        <f t="shared" si="0"/>
        <v>36</v>
      </c>
    </row>
    <row r="17" spans="2:14" x14ac:dyDescent="0.25">
      <c r="B17" s="243" t="s">
        <v>91</v>
      </c>
      <c r="C17" s="59"/>
      <c r="D17" s="6"/>
      <c r="E17" s="60"/>
      <c r="F17" s="61">
        <v>10000</v>
      </c>
      <c r="G17" s="62">
        <f t="shared" si="3"/>
        <v>10000</v>
      </c>
      <c r="H17" s="61">
        <v>0</v>
      </c>
      <c r="I17" s="63">
        <v>20</v>
      </c>
      <c r="J17" s="21"/>
      <c r="K17" s="64"/>
      <c r="L17" s="221">
        <f t="shared" si="1"/>
        <v>500</v>
      </c>
      <c r="M17" s="102">
        <f t="shared" si="2"/>
        <v>250</v>
      </c>
      <c r="N17" s="23">
        <f t="shared" si="0"/>
        <v>750</v>
      </c>
    </row>
    <row r="18" spans="2:14" ht="15.75" thickBot="1" x14ac:dyDescent="0.3">
      <c r="B18" s="246" t="s">
        <v>26</v>
      </c>
      <c r="C18" s="238"/>
      <c r="D18" s="240"/>
      <c r="E18" s="204"/>
      <c r="F18" s="205"/>
      <c r="G18" s="98"/>
      <c r="H18" s="98"/>
      <c r="I18" s="206"/>
      <c r="J18" s="98">
        <f>SUM(J13:J17)</f>
        <v>0</v>
      </c>
      <c r="K18" s="98">
        <f>SUM(K13:K17)</f>
        <v>0</v>
      </c>
      <c r="L18" s="207"/>
      <c r="M18" s="98"/>
      <c r="N18" s="99">
        <f>SUM(N13:N17)</f>
        <v>1173</v>
      </c>
    </row>
    <row r="19" spans="2:14" ht="15.75" thickBot="1" x14ac:dyDescent="0.3">
      <c r="B19" s="72"/>
      <c r="C19" s="252"/>
      <c r="D19" s="73"/>
      <c r="E19" s="73"/>
      <c r="F19" s="73"/>
      <c r="G19" s="73"/>
      <c r="H19" s="73"/>
      <c r="I19" s="73"/>
      <c r="J19" s="73"/>
      <c r="K19" s="74"/>
      <c r="L19" s="73"/>
      <c r="M19" s="73"/>
      <c r="N19" s="74"/>
    </row>
    <row r="20" spans="2:14" x14ac:dyDescent="0.25">
      <c r="B20" s="100" t="s">
        <v>13</v>
      </c>
      <c r="C20" s="222"/>
      <c r="D20" s="156"/>
      <c r="E20" s="198"/>
      <c r="F20" s="208"/>
      <c r="G20" s="200"/>
      <c r="H20" s="200"/>
      <c r="I20" s="201"/>
      <c r="J20" s="199"/>
      <c r="K20" s="202"/>
      <c r="L20" s="203"/>
      <c r="M20" s="209"/>
      <c r="N20" s="202"/>
    </row>
    <row r="21" spans="2:14" x14ac:dyDescent="0.25">
      <c r="B21" s="243" t="s">
        <v>100</v>
      </c>
      <c r="C21" s="59"/>
      <c r="D21" s="249" t="s">
        <v>25</v>
      </c>
      <c r="E21" s="223">
        <v>12</v>
      </c>
      <c r="F21" s="224">
        <v>5</v>
      </c>
      <c r="G21" s="217">
        <f t="shared" ref="G21:G30" si="4">IF(E21&gt;0, E21*F21, F21)</f>
        <v>60</v>
      </c>
      <c r="H21" s="224">
        <v>0</v>
      </c>
      <c r="I21" s="225">
        <v>2</v>
      </c>
      <c r="J21" s="101"/>
      <c r="K21" s="226"/>
      <c r="L21" s="221">
        <f>IF(I21&gt;0,(G21-H21)/I21,0)</f>
        <v>30</v>
      </c>
      <c r="M21" s="102">
        <f>$M$6*((G21+H21)/2)</f>
        <v>1.5</v>
      </c>
      <c r="N21" s="103">
        <f t="shared" ref="N21:N29" si="5">L21+M21</f>
        <v>31.5</v>
      </c>
    </row>
    <row r="22" spans="2:14" x14ac:dyDescent="0.25">
      <c r="B22" s="243" t="s">
        <v>101</v>
      </c>
      <c r="C22" s="59"/>
      <c r="D22" s="249" t="s">
        <v>25</v>
      </c>
      <c r="E22" s="60">
        <v>2</v>
      </c>
      <c r="F22" s="61">
        <v>800</v>
      </c>
      <c r="G22" s="62">
        <f t="shared" si="4"/>
        <v>1600</v>
      </c>
      <c r="H22" s="61">
        <v>0</v>
      </c>
      <c r="I22" s="63">
        <v>10</v>
      </c>
      <c r="J22" s="21"/>
      <c r="K22" s="64"/>
      <c r="L22" s="221">
        <f t="shared" ref="L22:L30" si="6">IF(I22&gt;0,(G22-H22)/I22,0)</f>
        <v>160</v>
      </c>
      <c r="M22" s="102">
        <f t="shared" ref="M22:M30" si="7">$M$6*((G22+H22)/2)</f>
        <v>40</v>
      </c>
      <c r="N22" s="23">
        <f t="shared" si="5"/>
        <v>200</v>
      </c>
    </row>
    <row r="23" spans="2:14" x14ac:dyDescent="0.25">
      <c r="B23" s="243" t="s">
        <v>15</v>
      </c>
      <c r="C23" s="59"/>
      <c r="D23" s="249" t="s">
        <v>25</v>
      </c>
      <c r="E23" s="60">
        <v>1</v>
      </c>
      <c r="F23" s="61">
        <v>50</v>
      </c>
      <c r="G23" s="62">
        <f t="shared" si="4"/>
        <v>50</v>
      </c>
      <c r="H23" s="61">
        <v>0</v>
      </c>
      <c r="I23" s="63">
        <v>5</v>
      </c>
      <c r="J23" s="21"/>
      <c r="K23" s="64"/>
      <c r="L23" s="221">
        <f t="shared" si="6"/>
        <v>10</v>
      </c>
      <c r="M23" s="102">
        <f t="shared" si="7"/>
        <v>1.25</v>
      </c>
      <c r="N23" s="23">
        <f t="shared" si="5"/>
        <v>11.25</v>
      </c>
    </row>
    <row r="24" spans="2:14" x14ac:dyDescent="0.25">
      <c r="B24" s="243" t="s">
        <v>102</v>
      </c>
      <c r="C24" s="59"/>
      <c r="D24" s="249" t="s">
        <v>25</v>
      </c>
      <c r="E24" s="60">
        <v>1</v>
      </c>
      <c r="F24" s="61">
        <v>45</v>
      </c>
      <c r="G24" s="62">
        <f t="shared" si="4"/>
        <v>45</v>
      </c>
      <c r="H24" s="61">
        <v>0</v>
      </c>
      <c r="I24" s="63">
        <v>5</v>
      </c>
      <c r="J24" s="21"/>
      <c r="K24" s="64"/>
      <c r="L24" s="221">
        <f t="shared" si="6"/>
        <v>9</v>
      </c>
      <c r="M24" s="102">
        <f t="shared" si="7"/>
        <v>1.125</v>
      </c>
      <c r="N24" s="23">
        <f t="shared" si="5"/>
        <v>10.125</v>
      </c>
    </row>
    <row r="25" spans="2:14" x14ac:dyDescent="0.25">
      <c r="B25" s="243" t="s">
        <v>16</v>
      </c>
      <c r="C25" s="59"/>
      <c r="D25" s="249" t="s">
        <v>25</v>
      </c>
      <c r="E25" s="60">
        <v>1</v>
      </c>
      <c r="F25" s="61">
        <v>20</v>
      </c>
      <c r="G25" s="62">
        <f t="shared" si="4"/>
        <v>20</v>
      </c>
      <c r="H25" s="61">
        <v>0</v>
      </c>
      <c r="I25" s="63">
        <v>5</v>
      </c>
      <c r="J25" s="21"/>
      <c r="K25" s="64"/>
      <c r="L25" s="221">
        <f t="shared" si="6"/>
        <v>4</v>
      </c>
      <c r="M25" s="102">
        <f t="shared" si="7"/>
        <v>0.5</v>
      </c>
      <c r="N25" s="23">
        <f t="shared" si="5"/>
        <v>4.5</v>
      </c>
    </row>
    <row r="26" spans="2:14" x14ac:dyDescent="0.25">
      <c r="B26" s="243" t="s">
        <v>17</v>
      </c>
      <c r="C26" s="59"/>
      <c r="D26" s="249" t="s">
        <v>25</v>
      </c>
      <c r="E26" s="60">
        <v>1</v>
      </c>
      <c r="F26" s="61">
        <v>25</v>
      </c>
      <c r="G26" s="62">
        <f t="shared" si="4"/>
        <v>25</v>
      </c>
      <c r="H26" s="61">
        <v>0</v>
      </c>
      <c r="I26" s="63">
        <v>5</v>
      </c>
      <c r="J26" s="21"/>
      <c r="K26" s="64"/>
      <c r="L26" s="221">
        <f t="shared" si="6"/>
        <v>5</v>
      </c>
      <c r="M26" s="102">
        <f t="shared" si="7"/>
        <v>0.625</v>
      </c>
      <c r="N26" s="23">
        <f t="shared" si="5"/>
        <v>5.625</v>
      </c>
    </row>
    <row r="27" spans="2:14" x14ac:dyDescent="0.25">
      <c r="B27" s="243" t="s">
        <v>103</v>
      </c>
      <c r="C27" s="59"/>
      <c r="D27" s="249" t="s">
        <v>25</v>
      </c>
      <c r="E27" s="60">
        <v>1</v>
      </c>
      <c r="F27" s="61">
        <v>20</v>
      </c>
      <c r="G27" s="62">
        <f t="shared" si="4"/>
        <v>20</v>
      </c>
      <c r="H27" s="61">
        <v>0</v>
      </c>
      <c r="I27" s="63">
        <v>5</v>
      </c>
      <c r="J27" s="21"/>
      <c r="K27" s="64"/>
      <c r="L27" s="221">
        <f t="shared" si="6"/>
        <v>4</v>
      </c>
      <c r="M27" s="102">
        <f t="shared" si="7"/>
        <v>0.5</v>
      </c>
      <c r="N27" s="23">
        <f t="shared" si="5"/>
        <v>4.5</v>
      </c>
    </row>
    <row r="28" spans="2:14" s="36" customFormat="1" x14ac:dyDescent="0.25">
      <c r="B28" s="243" t="s">
        <v>104</v>
      </c>
      <c r="C28" s="59"/>
      <c r="D28" s="249" t="s">
        <v>25</v>
      </c>
      <c r="E28" s="60">
        <v>3</v>
      </c>
      <c r="F28" s="61">
        <v>10</v>
      </c>
      <c r="G28" s="62">
        <f t="shared" si="4"/>
        <v>30</v>
      </c>
      <c r="H28" s="61">
        <v>0</v>
      </c>
      <c r="I28" s="63">
        <v>5</v>
      </c>
      <c r="J28" s="21"/>
      <c r="K28" s="64"/>
      <c r="L28" s="221">
        <f t="shared" si="6"/>
        <v>6</v>
      </c>
      <c r="M28" s="102">
        <f t="shared" si="7"/>
        <v>0.75</v>
      </c>
      <c r="N28" s="23">
        <f t="shared" si="5"/>
        <v>6.75</v>
      </c>
    </row>
    <row r="29" spans="2:14" x14ac:dyDescent="0.25">
      <c r="B29" s="243" t="s">
        <v>105</v>
      </c>
      <c r="C29" s="59"/>
      <c r="D29" s="249"/>
      <c r="E29" s="77">
        <v>1</v>
      </c>
      <c r="F29" s="78">
        <v>10</v>
      </c>
      <c r="G29" s="79">
        <f t="shared" si="4"/>
        <v>10</v>
      </c>
      <c r="H29" s="78">
        <v>0</v>
      </c>
      <c r="I29" s="80">
        <v>5</v>
      </c>
      <c r="J29" s="81"/>
      <c r="K29" s="82"/>
      <c r="L29" s="221">
        <f t="shared" si="6"/>
        <v>2</v>
      </c>
      <c r="M29" s="102">
        <f t="shared" si="7"/>
        <v>0.25</v>
      </c>
      <c r="N29" s="237">
        <f t="shared" si="5"/>
        <v>2.25</v>
      </c>
    </row>
    <row r="30" spans="2:14" x14ac:dyDescent="0.25">
      <c r="B30" s="243" t="s">
        <v>18</v>
      </c>
      <c r="C30" s="59"/>
      <c r="D30" s="249"/>
      <c r="E30" s="77"/>
      <c r="F30" s="78">
        <v>150</v>
      </c>
      <c r="G30" s="79">
        <f t="shared" si="4"/>
        <v>150</v>
      </c>
      <c r="H30" s="78"/>
      <c r="I30" s="80">
        <v>5</v>
      </c>
      <c r="J30" s="81"/>
      <c r="K30" s="254"/>
      <c r="L30" s="221">
        <f t="shared" si="6"/>
        <v>30</v>
      </c>
      <c r="M30" s="102">
        <f t="shared" si="7"/>
        <v>3.75</v>
      </c>
      <c r="N30" s="237">
        <f t="shared" ref="N30" si="8">L30+M30</f>
        <v>33.75</v>
      </c>
    </row>
    <row r="31" spans="2:14" ht="15.75" thickBot="1" x14ac:dyDescent="0.3">
      <c r="B31" s="246" t="s">
        <v>22</v>
      </c>
      <c r="C31" s="238"/>
      <c r="D31" s="250"/>
      <c r="E31" s="204"/>
      <c r="F31" s="210"/>
      <c r="G31" s="98"/>
      <c r="H31" s="98"/>
      <c r="I31" s="206"/>
      <c r="J31" s="98">
        <f>SUM(J21:J29)</f>
        <v>0</v>
      </c>
      <c r="K31" s="98">
        <f>SUM(K28:K29)</f>
        <v>0</v>
      </c>
      <c r="L31" s="207"/>
      <c r="M31" s="98"/>
      <c r="N31" s="99">
        <f>SUM(N21:N30)</f>
        <v>310.25</v>
      </c>
    </row>
    <row r="32" spans="2:14" ht="15.75" thickBot="1" x14ac:dyDescent="0.3">
      <c r="B32" s="72"/>
      <c r="C32" s="252"/>
      <c r="D32" s="73"/>
      <c r="E32" s="73"/>
      <c r="F32" s="73"/>
      <c r="G32" s="73"/>
      <c r="H32" s="73"/>
      <c r="I32" s="73"/>
      <c r="J32" s="73"/>
      <c r="K32" s="74"/>
      <c r="L32" s="73"/>
      <c r="M32" s="73"/>
      <c r="N32" s="74"/>
    </row>
    <row r="33" spans="2:14" x14ac:dyDescent="0.25">
      <c r="B33" s="100" t="s">
        <v>12</v>
      </c>
      <c r="C33" s="222"/>
      <c r="D33" s="155"/>
      <c r="E33" s="198"/>
      <c r="F33" s="208"/>
      <c r="G33" s="200"/>
      <c r="H33" s="200"/>
      <c r="I33" s="201"/>
      <c r="J33" s="199"/>
      <c r="K33" s="202"/>
      <c r="L33" s="203"/>
      <c r="M33" s="209"/>
      <c r="N33" s="202"/>
    </row>
    <row r="34" spans="2:14" s="36" customFormat="1" x14ac:dyDescent="0.25">
      <c r="B34" s="247" t="s">
        <v>55</v>
      </c>
      <c r="C34" s="76"/>
      <c r="D34" s="4" t="s">
        <v>52</v>
      </c>
      <c r="E34" s="223"/>
      <c r="F34" s="224">
        <v>0</v>
      </c>
      <c r="G34" s="217">
        <f t="shared" ref="G34:G35" si="9">IF(E34&gt;0, E34*F34, F34)</f>
        <v>0</v>
      </c>
      <c r="H34" s="224">
        <v>0</v>
      </c>
      <c r="I34" s="225">
        <v>1</v>
      </c>
      <c r="J34" s="101"/>
      <c r="K34" s="226"/>
      <c r="L34" s="221">
        <f>IF(I34&gt;0,(G34-H34)/I34,0)</f>
        <v>0</v>
      </c>
      <c r="M34" s="102">
        <f>$M$6*((G34+H34)/2)</f>
        <v>0</v>
      </c>
      <c r="N34" s="103">
        <f>L34+M34</f>
        <v>0</v>
      </c>
    </row>
    <row r="35" spans="2:14" x14ac:dyDescent="0.25">
      <c r="B35" s="247" t="s">
        <v>54</v>
      </c>
      <c r="C35" s="76"/>
      <c r="D35" s="4" t="s">
        <v>53</v>
      </c>
      <c r="E35" s="77"/>
      <c r="F35" s="78">
        <v>0</v>
      </c>
      <c r="G35" s="79">
        <f t="shared" si="9"/>
        <v>0</v>
      </c>
      <c r="H35" s="78">
        <v>0</v>
      </c>
      <c r="I35" s="80">
        <v>1</v>
      </c>
      <c r="J35" s="81"/>
      <c r="K35" s="82"/>
      <c r="L35" s="221">
        <f>IF(I35&gt;0,(G35-H35)/I35,0)</f>
        <v>0</v>
      </c>
      <c r="M35" s="102">
        <f>$M$6*((G35+H35)/2)</f>
        <v>0</v>
      </c>
      <c r="N35" s="237">
        <f>L35+M35</f>
        <v>0</v>
      </c>
    </row>
    <row r="36" spans="2:14" ht="15.75" thickBot="1" x14ac:dyDescent="0.3">
      <c r="B36" s="246" t="s">
        <v>23</v>
      </c>
      <c r="C36" s="238"/>
      <c r="D36" s="240"/>
      <c r="E36" s="204"/>
      <c r="F36" s="205"/>
      <c r="G36" s="98"/>
      <c r="H36" s="98"/>
      <c r="I36" s="206"/>
      <c r="J36" s="98">
        <f>SUM(J34:J35)</f>
        <v>0</v>
      </c>
      <c r="K36" s="99">
        <f>SUM(K34:K35)</f>
        <v>0</v>
      </c>
      <c r="L36" s="207"/>
      <c r="M36" s="98"/>
      <c r="N36" s="99">
        <f>SUM(N34:N35)</f>
        <v>0</v>
      </c>
    </row>
    <row r="37" spans="2:14" ht="15.75" thickBot="1" x14ac:dyDescent="0.3">
      <c r="B37" s="72"/>
      <c r="C37" s="252"/>
      <c r="D37" s="73"/>
      <c r="E37" s="73"/>
      <c r="F37" s="73"/>
      <c r="G37" s="73"/>
      <c r="H37" s="73"/>
      <c r="I37" s="73"/>
      <c r="J37" s="73"/>
      <c r="K37" s="74"/>
      <c r="L37" s="73"/>
      <c r="M37" s="73"/>
      <c r="N37" s="74"/>
    </row>
    <row r="38" spans="2:14" x14ac:dyDescent="0.25">
      <c r="B38" s="100" t="s">
        <v>28</v>
      </c>
      <c r="C38" s="222"/>
      <c r="D38" s="155"/>
      <c r="E38" s="198"/>
      <c r="F38" s="199"/>
      <c r="G38" s="200"/>
      <c r="H38" s="200"/>
      <c r="I38" s="201"/>
      <c r="J38" s="199"/>
      <c r="K38" s="202"/>
      <c r="L38" s="203"/>
      <c r="M38" s="209"/>
      <c r="N38" s="202"/>
    </row>
    <row r="39" spans="2:14" x14ac:dyDescent="0.25">
      <c r="B39" s="247" t="s">
        <v>27</v>
      </c>
      <c r="C39" s="76"/>
      <c r="D39" s="4" t="s">
        <v>20</v>
      </c>
      <c r="E39" s="215"/>
      <c r="F39" s="216"/>
      <c r="G39" s="224">
        <f>SUM(K10,K18,K31,K36,K44)</f>
        <v>0</v>
      </c>
      <c r="H39" s="216"/>
      <c r="I39" s="218"/>
      <c r="J39" s="219"/>
      <c r="K39" s="220"/>
      <c r="L39" s="221">
        <f>G39</f>
        <v>0</v>
      </c>
      <c r="M39" s="102">
        <f>G39*$M$6</f>
        <v>0</v>
      </c>
      <c r="N39" s="103">
        <f>L39+M39</f>
        <v>0</v>
      </c>
    </row>
    <row r="40" spans="2:14" x14ac:dyDescent="0.25">
      <c r="B40" s="247" t="s">
        <v>45</v>
      </c>
      <c r="C40" s="76"/>
      <c r="D40" s="4" t="s">
        <v>20</v>
      </c>
      <c r="E40" s="87"/>
      <c r="F40" s="88"/>
      <c r="G40" s="61"/>
      <c r="H40" s="88"/>
      <c r="I40" s="91"/>
      <c r="J40" s="30"/>
      <c r="K40" s="92"/>
      <c r="L40" s="221">
        <f t="shared" ref="L40:L43" si="10">G40</f>
        <v>0</v>
      </c>
      <c r="M40" s="22">
        <f t="shared" ref="M40:M43" si="11">G40*$M$6</f>
        <v>0</v>
      </c>
      <c r="N40" s="23">
        <f t="shared" ref="N40:N43" si="12">L40+M40</f>
        <v>0</v>
      </c>
    </row>
    <row r="41" spans="2:14" x14ac:dyDescent="0.25">
      <c r="B41" s="247" t="s">
        <v>46</v>
      </c>
      <c r="C41" s="76"/>
      <c r="D41" s="4" t="s">
        <v>20</v>
      </c>
      <c r="E41" s="87"/>
      <c r="F41" s="88"/>
      <c r="G41" s="61"/>
      <c r="H41" s="88"/>
      <c r="I41" s="91"/>
      <c r="J41" s="30"/>
      <c r="K41" s="92"/>
      <c r="L41" s="221">
        <f t="shared" si="10"/>
        <v>0</v>
      </c>
      <c r="M41" s="22">
        <f t="shared" si="11"/>
        <v>0</v>
      </c>
      <c r="N41" s="23">
        <f t="shared" si="12"/>
        <v>0</v>
      </c>
    </row>
    <row r="42" spans="2:14" x14ac:dyDescent="0.25">
      <c r="B42" s="247" t="s">
        <v>33</v>
      </c>
      <c r="C42" s="76"/>
      <c r="D42" s="4" t="s">
        <v>20</v>
      </c>
      <c r="E42" s="87"/>
      <c r="F42" s="88"/>
      <c r="G42" s="61"/>
      <c r="H42" s="88"/>
      <c r="I42" s="91"/>
      <c r="J42" s="30"/>
      <c r="K42" s="92"/>
      <c r="L42" s="221">
        <f t="shared" si="10"/>
        <v>0</v>
      </c>
      <c r="M42" s="22">
        <f t="shared" si="11"/>
        <v>0</v>
      </c>
      <c r="N42" s="23">
        <f t="shared" si="12"/>
        <v>0</v>
      </c>
    </row>
    <row r="43" spans="2:14" x14ac:dyDescent="0.25">
      <c r="B43" s="247" t="s">
        <v>40</v>
      </c>
      <c r="C43" s="76"/>
      <c r="D43" s="4" t="s">
        <v>20</v>
      </c>
      <c r="E43" s="89"/>
      <c r="F43" s="90"/>
      <c r="G43" s="78">
        <v>200</v>
      </c>
      <c r="H43" s="90"/>
      <c r="I43" s="93"/>
      <c r="J43" s="94"/>
      <c r="K43" s="95"/>
      <c r="L43" s="221">
        <f t="shared" si="10"/>
        <v>200</v>
      </c>
      <c r="M43" s="236">
        <f t="shared" si="11"/>
        <v>10</v>
      </c>
      <c r="N43" s="237">
        <f t="shared" si="12"/>
        <v>210</v>
      </c>
    </row>
    <row r="44" spans="2:14" ht="15.75" thickBot="1" x14ac:dyDescent="0.3">
      <c r="B44" s="246" t="s">
        <v>83</v>
      </c>
      <c r="C44" s="238"/>
      <c r="D44" s="239"/>
      <c r="E44" s="211"/>
      <c r="F44" s="97"/>
      <c r="G44" s="212"/>
      <c r="H44" s="212"/>
      <c r="I44" s="213"/>
      <c r="J44" s="98">
        <f>SUM(J39:J42)</f>
        <v>0</v>
      </c>
      <c r="K44" s="99">
        <f>SUM(K39:K42)</f>
        <v>0</v>
      </c>
      <c r="L44" s="214"/>
      <c r="M44" s="212"/>
      <c r="N44" s="99">
        <f>SUM(N39:N43)</f>
        <v>210</v>
      </c>
    </row>
    <row r="45" spans="2:14" ht="15.75" thickBot="1" x14ac:dyDescent="0.3">
      <c r="B45" s="44"/>
      <c r="C45" s="253"/>
      <c r="D45" s="6"/>
      <c r="E45" s="83"/>
      <c r="F45" s="6"/>
      <c r="G45" s="17"/>
      <c r="H45" s="84"/>
      <c r="I45" s="85"/>
      <c r="J45" s="6"/>
      <c r="K45" s="6"/>
      <c r="L45" s="6"/>
      <c r="M45" s="86"/>
      <c r="N45" s="45"/>
    </row>
    <row r="46" spans="2:14" ht="15.75" thickBot="1" x14ac:dyDescent="0.3">
      <c r="B46" s="248" t="s">
        <v>35</v>
      </c>
      <c r="C46" s="227"/>
      <c r="D46" s="251" t="s">
        <v>20</v>
      </c>
      <c r="E46" s="228"/>
      <c r="F46" s="229"/>
      <c r="G46" s="229"/>
      <c r="H46" s="229"/>
      <c r="I46" s="230"/>
      <c r="J46" s="231"/>
      <c r="K46" s="232"/>
      <c r="L46" s="233"/>
      <c r="M46" s="234"/>
      <c r="N46" s="235">
        <f>SUM(J10,J18,J31,J36,J44,)</f>
        <v>0</v>
      </c>
    </row>
  </sheetData>
  <mergeCells count="3">
    <mergeCell ref="B2:N2"/>
    <mergeCell ref="B3:N3"/>
    <mergeCell ref="B4:N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I74"/>
  <sheetViews>
    <sheetView topLeftCell="B40" zoomScale="90" zoomScaleNormal="90" workbookViewId="0">
      <selection activeCell="H68" sqref="H68:I70"/>
    </sheetView>
  </sheetViews>
  <sheetFormatPr defaultRowHeight="15" x14ac:dyDescent="0.25"/>
  <cols>
    <col min="1" max="1" width="9.140625" style="1"/>
    <col min="2" max="2" width="39.28515625" style="1" bestFit="1" customWidth="1"/>
    <col min="3" max="3" width="12.42578125" style="1" bestFit="1" customWidth="1"/>
    <col min="4" max="4" width="14.140625" style="1" bestFit="1" customWidth="1"/>
    <col min="5" max="5" width="9.7109375" style="1" bestFit="1" customWidth="1"/>
    <col min="6" max="6" width="13.7109375" style="1" bestFit="1" customWidth="1"/>
    <col min="7" max="7" width="10.140625" style="2" bestFit="1" customWidth="1"/>
    <col min="8" max="8" width="13.85546875" style="1" bestFit="1" customWidth="1"/>
    <col min="9" max="9" width="9.85546875" style="1" bestFit="1" customWidth="1"/>
    <col min="10" max="16384" width="9.140625" style="1"/>
  </cols>
  <sheetData>
    <row r="1" spans="2:9" ht="15.75" thickBot="1" x14ac:dyDescent="0.3"/>
    <row r="2" spans="2:9" ht="19.5" thickBot="1" x14ac:dyDescent="0.35">
      <c r="B2" s="278" t="s">
        <v>134</v>
      </c>
      <c r="C2" s="288"/>
      <c r="D2" s="288"/>
      <c r="E2" s="288"/>
      <c r="F2" s="288"/>
      <c r="G2" s="288"/>
      <c r="H2" s="288"/>
      <c r="I2" s="289"/>
    </row>
    <row r="3" spans="2:9" ht="90" customHeight="1" thickBot="1" x14ac:dyDescent="0.3">
      <c r="B3" s="290" t="s">
        <v>41</v>
      </c>
      <c r="C3" s="291"/>
      <c r="D3" s="291"/>
      <c r="E3" s="291"/>
      <c r="F3" s="291"/>
      <c r="G3" s="291"/>
      <c r="H3" s="291"/>
      <c r="I3" s="292"/>
    </row>
    <row r="4" spans="2:9" s="146" customFormat="1" ht="16.5" thickBot="1" x14ac:dyDescent="0.3">
      <c r="B4" s="147"/>
      <c r="C4" s="147"/>
      <c r="D4" s="147"/>
      <c r="E4" s="147"/>
      <c r="F4" s="147"/>
      <c r="G4" s="147"/>
      <c r="H4" s="147"/>
      <c r="I4" s="147"/>
    </row>
    <row r="5" spans="2:9" ht="15.75" thickBot="1" x14ac:dyDescent="0.3">
      <c r="B5" s="296" t="s">
        <v>133</v>
      </c>
      <c r="C5" s="297"/>
      <c r="D5" s="298"/>
      <c r="E5" s="3"/>
      <c r="F5" s="3"/>
      <c r="G5" s="3"/>
      <c r="H5" s="3"/>
      <c r="I5" s="3"/>
    </row>
    <row r="6" spans="2:9" x14ac:dyDescent="0.25">
      <c r="B6" s="157" t="s">
        <v>0</v>
      </c>
      <c r="C6" s="158" t="s">
        <v>138</v>
      </c>
      <c r="D6" s="159" t="s">
        <v>1</v>
      </c>
      <c r="E6" s="4"/>
      <c r="F6" s="3"/>
      <c r="G6" s="5"/>
      <c r="H6" s="5"/>
      <c r="I6" s="3"/>
    </row>
    <row r="7" spans="2:9" x14ac:dyDescent="0.25">
      <c r="B7" s="160" t="s">
        <v>88</v>
      </c>
      <c r="C7" s="9"/>
      <c r="D7" s="10">
        <v>20</v>
      </c>
      <c r="E7" s="6"/>
      <c r="F7" s="7"/>
      <c r="G7" s="8"/>
      <c r="H7" s="8"/>
      <c r="I7" s="7"/>
    </row>
    <row r="8" spans="2:9" x14ac:dyDescent="0.25">
      <c r="B8" s="160" t="s">
        <v>89</v>
      </c>
      <c r="C8" s="9"/>
      <c r="D8" s="10">
        <v>1</v>
      </c>
      <c r="E8" s="6"/>
      <c r="F8" s="7"/>
      <c r="G8" s="8"/>
      <c r="H8" s="8"/>
      <c r="I8" s="7"/>
    </row>
    <row r="9" spans="2:9" x14ac:dyDescent="0.25">
      <c r="B9" s="160" t="s">
        <v>106</v>
      </c>
      <c r="C9" s="11">
        <v>2</v>
      </c>
      <c r="D9" s="12">
        <f>D7*C9</f>
        <v>40</v>
      </c>
      <c r="E9" s="6"/>
      <c r="F9" s="7"/>
      <c r="G9" s="8"/>
      <c r="H9" s="8"/>
      <c r="I9" s="7"/>
    </row>
    <row r="10" spans="2:9" x14ac:dyDescent="0.25">
      <c r="B10" s="160" t="s">
        <v>107</v>
      </c>
      <c r="C10" s="13"/>
      <c r="D10" s="10">
        <v>5</v>
      </c>
      <c r="E10" s="6"/>
      <c r="F10" s="7"/>
      <c r="G10" s="8"/>
      <c r="H10" s="8"/>
      <c r="I10" s="7"/>
    </row>
    <row r="11" spans="2:9" x14ac:dyDescent="0.25">
      <c r="B11" s="160" t="s">
        <v>108</v>
      </c>
      <c r="C11" s="13"/>
      <c r="D11" s="10">
        <v>0</v>
      </c>
      <c r="E11" s="6"/>
      <c r="F11" s="7"/>
      <c r="G11" s="8"/>
      <c r="H11" s="8"/>
      <c r="I11" s="7"/>
    </row>
    <row r="12" spans="2:9" x14ac:dyDescent="0.25">
      <c r="B12" s="160" t="s">
        <v>109</v>
      </c>
      <c r="C12" s="11">
        <v>0</v>
      </c>
      <c r="D12" s="12">
        <f>D7*C12</f>
        <v>0</v>
      </c>
      <c r="E12" s="6"/>
      <c r="F12" s="7"/>
      <c r="G12" s="8"/>
      <c r="H12" s="8"/>
      <c r="I12" s="7"/>
    </row>
    <row r="13" spans="2:9" x14ac:dyDescent="0.25">
      <c r="B13" s="160" t="s">
        <v>110</v>
      </c>
      <c r="C13" s="11">
        <v>0.1</v>
      </c>
      <c r="D13" s="12">
        <f>D9*C13</f>
        <v>4</v>
      </c>
      <c r="E13" s="6"/>
      <c r="F13" s="7"/>
      <c r="G13" s="8"/>
      <c r="H13" s="8"/>
      <c r="I13" s="7"/>
    </row>
    <row r="14" spans="2:9" x14ac:dyDescent="0.25">
      <c r="B14" s="160" t="s">
        <v>111</v>
      </c>
      <c r="C14" s="14">
        <f>(D14/D7)</f>
        <v>1.8</v>
      </c>
      <c r="D14" s="12">
        <f>D9-D13</f>
        <v>36</v>
      </c>
      <c r="E14" s="6"/>
      <c r="F14" s="7"/>
      <c r="G14" s="8"/>
      <c r="H14" s="8"/>
      <c r="I14" s="7"/>
    </row>
    <row r="15" spans="2:9" x14ac:dyDescent="0.25">
      <c r="B15" s="160" t="s">
        <v>112</v>
      </c>
      <c r="C15" s="9"/>
      <c r="D15" s="10">
        <v>5</v>
      </c>
      <c r="E15" s="6"/>
      <c r="F15" s="7"/>
      <c r="G15" s="8"/>
      <c r="H15" s="8"/>
      <c r="I15" s="7"/>
    </row>
    <row r="16" spans="2:9" ht="15.75" thickBot="1" x14ac:dyDescent="0.3">
      <c r="B16" s="161" t="s">
        <v>113</v>
      </c>
      <c r="C16" s="15">
        <f>D16/D7</f>
        <v>1.55</v>
      </c>
      <c r="D16" s="16">
        <f>D14-D15</f>
        <v>31</v>
      </c>
      <c r="E16" s="6"/>
      <c r="F16" s="7"/>
      <c r="G16" s="8"/>
      <c r="H16" s="8"/>
      <c r="I16" s="7"/>
    </row>
    <row r="17" spans="2:9" ht="15.75" thickBot="1" x14ac:dyDescent="0.3">
      <c r="B17" s="6"/>
      <c r="C17" s="6"/>
      <c r="D17" s="6"/>
      <c r="E17" s="6"/>
      <c r="F17" s="6"/>
      <c r="G17" s="17"/>
      <c r="H17" s="6"/>
      <c r="I17" s="6"/>
    </row>
    <row r="18" spans="2:9" x14ac:dyDescent="0.25">
      <c r="B18" s="157" t="s">
        <v>75</v>
      </c>
      <c r="C18" s="149"/>
      <c r="D18" s="149"/>
      <c r="E18" s="149"/>
      <c r="F18" s="149"/>
      <c r="G18" s="149"/>
      <c r="H18" s="149"/>
      <c r="I18" s="150"/>
    </row>
    <row r="19" spans="2:9" x14ac:dyDescent="0.25">
      <c r="B19" s="175"/>
      <c r="C19" s="151" t="s">
        <v>2</v>
      </c>
      <c r="D19" s="151" t="s">
        <v>78</v>
      </c>
      <c r="E19" s="151" t="s">
        <v>4</v>
      </c>
      <c r="F19" s="151" t="s">
        <v>39</v>
      </c>
      <c r="G19" s="151" t="s">
        <v>144</v>
      </c>
      <c r="H19" s="152" t="s">
        <v>136</v>
      </c>
      <c r="I19" s="181" t="s">
        <v>135</v>
      </c>
    </row>
    <row r="20" spans="2:9" x14ac:dyDescent="0.25">
      <c r="B20" s="160" t="s">
        <v>114</v>
      </c>
      <c r="C20" s="18">
        <f>D16</f>
        <v>31</v>
      </c>
      <c r="D20" s="20">
        <v>55</v>
      </c>
      <c r="E20" s="19" t="s">
        <v>43</v>
      </c>
      <c r="F20" s="61">
        <f>C20*D20</f>
        <v>1705</v>
      </c>
      <c r="G20" s="61">
        <v>7.5</v>
      </c>
      <c r="H20" s="62">
        <f>F20*G20</f>
        <v>12787.5</v>
      </c>
      <c r="I20" s="170">
        <f>H20/$D$7</f>
        <v>639.375</v>
      </c>
    </row>
    <row r="21" spans="2:9" x14ac:dyDescent="0.25">
      <c r="B21" s="160" t="s">
        <v>115</v>
      </c>
      <c r="C21" s="18">
        <f>D10</f>
        <v>5</v>
      </c>
      <c r="D21" s="20">
        <v>1</v>
      </c>
      <c r="E21" s="19" t="s">
        <v>57</v>
      </c>
      <c r="F21" s="61">
        <f>C21*D21</f>
        <v>5</v>
      </c>
      <c r="G21" s="61">
        <v>105</v>
      </c>
      <c r="H21" s="62">
        <f>F21*G21</f>
        <v>525</v>
      </c>
      <c r="I21" s="170">
        <f>H21/$D$7</f>
        <v>26.25</v>
      </c>
    </row>
    <row r="22" spans="2:9" ht="15.75" thickBot="1" x14ac:dyDescent="0.3">
      <c r="B22" s="163" t="s">
        <v>3</v>
      </c>
      <c r="C22" s="96"/>
      <c r="D22" s="96"/>
      <c r="E22" s="97"/>
      <c r="F22" s="255"/>
      <c r="G22" s="255"/>
      <c r="H22" s="256">
        <f>SUM(H20:H21)</f>
        <v>13312.5</v>
      </c>
      <c r="I22" s="257">
        <f>SUM(I20:I21)</f>
        <v>665.625</v>
      </c>
    </row>
    <row r="23" spans="2:9" ht="15.75" thickBot="1" x14ac:dyDescent="0.3">
      <c r="B23" s="287"/>
      <c r="C23" s="287"/>
      <c r="D23" s="287"/>
      <c r="E23" s="287"/>
      <c r="F23" s="287"/>
      <c r="G23" s="287"/>
      <c r="H23" s="287"/>
      <c r="I23" s="6"/>
    </row>
    <row r="24" spans="2:9" x14ac:dyDescent="0.25">
      <c r="B24" s="100" t="s">
        <v>74</v>
      </c>
      <c r="C24" s="155"/>
      <c r="D24" s="155"/>
      <c r="E24" s="155"/>
      <c r="F24" s="155"/>
      <c r="G24" s="155"/>
      <c r="H24" s="155"/>
      <c r="I24" s="156"/>
    </row>
    <row r="25" spans="2:9" x14ac:dyDescent="0.25">
      <c r="B25" s="164"/>
      <c r="C25" s="153" t="s">
        <v>29</v>
      </c>
      <c r="D25" s="153" t="s">
        <v>37</v>
      </c>
      <c r="E25" s="153" t="s">
        <v>4</v>
      </c>
      <c r="F25" s="153" t="s">
        <v>39</v>
      </c>
      <c r="G25" s="153" t="s">
        <v>144</v>
      </c>
      <c r="H25" s="154" t="s">
        <v>136</v>
      </c>
      <c r="I25" s="165" t="s">
        <v>135</v>
      </c>
    </row>
    <row r="26" spans="2:9" x14ac:dyDescent="0.25">
      <c r="B26" s="166" t="s">
        <v>139</v>
      </c>
      <c r="C26" s="27"/>
      <c r="D26" s="27"/>
      <c r="E26" s="27"/>
      <c r="F26" s="27"/>
      <c r="G26" s="27"/>
      <c r="H26" s="28"/>
      <c r="I26" s="29"/>
    </row>
    <row r="27" spans="2:9" x14ac:dyDescent="0.25">
      <c r="B27" s="167" t="s">
        <v>42</v>
      </c>
      <c r="C27" s="26"/>
      <c r="D27" s="19"/>
      <c r="E27" s="19" t="s">
        <v>38</v>
      </c>
      <c r="F27" s="61">
        <v>5</v>
      </c>
      <c r="G27" s="61">
        <v>75</v>
      </c>
      <c r="H27" s="62">
        <f>F27*G27</f>
        <v>375</v>
      </c>
      <c r="I27" s="170">
        <f>H27/$D$7</f>
        <v>18.75</v>
      </c>
    </row>
    <row r="28" spans="2:9" x14ac:dyDescent="0.25">
      <c r="B28" s="167" t="s">
        <v>116</v>
      </c>
      <c r="C28" s="26">
        <f>D7+D8</f>
        <v>21</v>
      </c>
      <c r="D28" s="19">
        <v>13</v>
      </c>
      <c r="E28" s="19" t="s">
        <v>30</v>
      </c>
      <c r="F28" s="61">
        <f>C28*D28</f>
        <v>273</v>
      </c>
      <c r="G28" s="61">
        <v>7</v>
      </c>
      <c r="H28" s="62">
        <f t="shared" ref="H28:H32" si="0">F28*G28</f>
        <v>1911</v>
      </c>
      <c r="I28" s="170">
        <f t="shared" ref="I28:I32" si="1">H28/$D$7</f>
        <v>95.55</v>
      </c>
    </row>
    <row r="29" spans="2:9" x14ac:dyDescent="0.25">
      <c r="B29" s="167" t="s">
        <v>117</v>
      </c>
      <c r="C29" s="26">
        <f>D7</f>
        <v>20</v>
      </c>
      <c r="D29" s="19">
        <v>152</v>
      </c>
      <c r="E29" s="19" t="s">
        <v>43</v>
      </c>
      <c r="F29" s="61">
        <f>C29*D29</f>
        <v>3040</v>
      </c>
      <c r="G29" s="61">
        <v>0.25</v>
      </c>
      <c r="H29" s="62">
        <f>F29*G29</f>
        <v>760</v>
      </c>
      <c r="I29" s="170">
        <f t="shared" si="1"/>
        <v>38</v>
      </c>
    </row>
    <row r="30" spans="2:9" x14ac:dyDescent="0.25">
      <c r="B30" s="167" t="s">
        <v>119</v>
      </c>
      <c r="C30" s="26">
        <f>D8</f>
        <v>1</v>
      </c>
      <c r="D30" s="19">
        <v>30</v>
      </c>
      <c r="E30" s="19" t="s">
        <v>43</v>
      </c>
      <c r="F30" s="61">
        <f>C30*D30</f>
        <v>30</v>
      </c>
      <c r="G30" s="61">
        <v>0.25</v>
      </c>
      <c r="H30" s="62">
        <f t="shared" si="0"/>
        <v>7.5</v>
      </c>
      <c r="I30" s="170">
        <f t="shared" si="1"/>
        <v>0.375</v>
      </c>
    </row>
    <row r="31" spans="2:9" x14ac:dyDescent="0.25">
      <c r="B31" s="167" t="s">
        <v>118</v>
      </c>
      <c r="C31" s="26">
        <f>D9</f>
        <v>40</v>
      </c>
      <c r="D31" s="19">
        <v>76</v>
      </c>
      <c r="E31" s="19" t="s">
        <v>43</v>
      </c>
      <c r="F31" s="61">
        <f t="shared" ref="F31:F32" si="2">C31*D31</f>
        <v>3040</v>
      </c>
      <c r="G31" s="61">
        <v>0.25</v>
      </c>
      <c r="H31" s="62">
        <f t="shared" si="0"/>
        <v>760</v>
      </c>
      <c r="I31" s="170">
        <f t="shared" si="1"/>
        <v>38</v>
      </c>
    </row>
    <row r="32" spans="2:9" x14ac:dyDescent="0.25">
      <c r="B32" s="167" t="s">
        <v>120</v>
      </c>
      <c r="C32" s="26">
        <f>$D$7</f>
        <v>20</v>
      </c>
      <c r="D32" s="19">
        <v>150</v>
      </c>
      <c r="E32" s="19" t="s">
        <v>43</v>
      </c>
      <c r="F32" s="61">
        <f t="shared" si="2"/>
        <v>3000</v>
      </c>
      <c r="G32" s="61">
        <v>0.02</v>
      </c>
      <c r="H32" s="62">
        <f t="shared" si="0"/>
        <v>60</v>
      </c>
      <c r="I32" s="170">
        <f t="shared" si="1"/>
        <v>3</v>
      </c>
    </row>
    <row r="33" spans="2:9" x14ac:dyDescent="0.25">
      <c r="B33" s="182" t="s">
        <v>60</v>
      </c>
      <c r="C33" s="183"/>
      <c r="D33" s="183"/>
      <c r="E33" s="183"/>
      <c r="F33" s="258"/>
      <c r="G33" s="258"/>
      <c r="H33" s="258">
        <f>SUM(H27:H32)</f>
        <v>3873.5</v>
      </c>
      <c r="I33" s="259">
        <f>SUM(I27:I32)</f>
        <v>193.67500000000001</v>
      </c>
    </row>
    <row r="34" spans="2:9" x14ac:dyDescent="0.25">
      <c r="B34" s="169" t="s">
        <v>6</v>
      </c>
      <c r="C34" s="27"/>
      <c r="D34" s="27"/>
      <c r="E34" s="27"/>
      <c r="F34" s="27"/>
      <c r="G34" s="27"/>
      <c r="H34" s="28"/>
      <c r="I34" s="29"/>
    </row>
    <row r="35" spans="2:9" x14ac:dyDescent="0.25">
      <c r="B35" s="167" t="s">
        <v>31</v>
      </c>
      <c r="C35" s="26">
        <f>D7</f>
        <v>20</v>
      </c>
      <c r="D35" s="19"/>
      <c r="E35" s="19"/>
      <c r="F35" s="61">
        <f>C35</f>
        <v>20</v>
      </c>
      <c r="G35" s="61">
        <v>2.4500000000000002</v>
      </c>
      <c r="H35" s="62">
        <f t="shared" ref="H35:H40" si="3">F35*G35</f>
        <v>49</v>
      </c>
      <c r="I35" s="170">
        <f>H35/$D$7</f>
        <v>2.4500000000000002</v>
      </c>
    </row>
    <row r="36" spans="2:9" x14ac:dyDescent="0.25">
      <c r="B36" s="167" t="s">
        <v>121</v>
      </c>
      <c r="C36" s="26">
        <f>D9</f>
        <v>40</v>
      </c>
      <c r="D36" s="19"/>
      <c r="E36" s="19"/>
      <c r="F36" s="61">
        <f t="shared" ref="F36:F40" si="4">C36</f>
        <v>40</v>
      </c>
      <c r="G36" s="61">
        <v>1.45</v>
      </c>
      <c r="H36" s="62">
        <f t="shared" si="3"/>
        <v>58</v>
      </c>
      <c r="I36" s="170">
        <f t="shared" ref="I36:I40" si="5">H36/$D$7</f>
        <v>2.9</v>
      </c>
    </row>
    <row r="37" spans="2:9" x14ac:dyDescent="0.25">
      <c r="B37" s="167" t="s">
        <v>122</v>
      </c>
      <c r="C37" s="26">
        <f>D7</f>
        <v>20</v>
      </c>
      <c r="D37" s="19"/>
      <c r="E37" s="19"/>
      <c r="F37" s="61">
        <f t="shared" si="4"/>
        <v>20</v>
      </c>
      <c r="G37" s="61">
        <v>0.16</v>
      </c>
      <c r="H37" s="62">
        <f t="shared" si="3"/>
        <v>3.2</v>
      </c>
      <c r="I37" s="170">
        <f t="shared" si="5"/>
        <v>0.16</v>
      </c>
    </row>
    <row r="38" spans="2:9" x14ac:dyDescent="0.25">
      <c r="B38" s="167" t="s">
        <v>123</v>
      </c>
      <c r="C38" s="26">
        <f>D9</f>
        <v>40</v>
      </c>
      <c r="D38" s="19"/>
      <c r="E38" s="19"/>
      <c r="F38" s="61">
        <f t="shared" si="4"/>
        <v>40</v>
      </c>
      <c r="G38" s="61">
        <v>0.16</v>
      </c>
      <c r="H38" s="62">
        <f t="shared" si="3"/>
        <v>6.4</v>
      </c>
      <c r="I38" s="170">
        <f t="shared" si="5"/>
        <v>0.32</v>
      </c>
    </row>
    <row r="39" spans="2:9" x14ac:dyDescent="0.25">
      <c r="B39" s="167" t="s">
        <v>124</v>
      </c>
      <c r="C39" s="26">
        <f>D7</f>
        <v>20</v>
      </c>
      <c r="D39" s="19"/>
      <c r="E39" s="19"/>
      <c r="F39" s="61">
        <f t="shared" si="4"/>
        <v>20</v>
      </c>
      <c r="G39" s="61">
        <v>2.1</v>
      </c>
      <c r="H39" s="62">
        <f t="shared" si="3"/>
        <v>42</v>
      </c>
      <c r="I39" s="170">
        <f t="shared" si="5"/>
        <v>2.1</v>
      </c>
    </row>
    <row r="40" spans="2:9" x14ac:dyDescent="0.25">
      <c r="B40" s="167" t="s">
        <v>145</v>
      </c>
      <c r="C40" s="26">
        <f>D9</f>
        <v>40</v>
      </c>
      <c r="D40" s="19"/>
      <c r="E40" s="19"/>
      <c r="F40" s="61">
        <f t="shared" si="4"/>
        <v>40</v>
      </c>
      <c r="G40" s="61">
        <v>1.2</v>
      </c>
      <c r="H40" s="62">
        <f t="shared" si="3"/>
        <v>48</v>
      </c>
      <c r="I40" s="170">
        <f t="shared" si="5"/>
        <v>2.4</v>
      </c>
    </row>
    <row r="41" spans="2:9" ht="15.75" customHeight="1" x14ac:dyDescent="0.25">
      <c r="B41" s="182" t="s">
        <v>146</v>
      </c>
      <c r="C41" s="183"/>
      <c r="D41" s="183"/>
      <c r="E41" s="183"/>
      <c r="F41" s="258"/>
      <c r="G41" s="258"/>
      <c r="H41" s="258">
        <f>SUM(H35:H40)</f>
        <v>206.60000000000002</v>
      </c>
      <c r="I41" s="259">
        <f>SUM(I35:I40)</f>
        <v>10.33</v>
      </c>
    </row>
    <row r="42" spans="2:9" x14ac:dyDescent="0.25">
      <c r="B42" s="166" t="s">
        <v>58</v>
      </c>
      <c r="C42" s="27"/>
      <c r="D42" s="27"/>
      <c r="E42" s="27"/>
      <c r="F42" s="27"/>
      <c r="G42" s="27"/>
      <c r="H42" s="30"/>
      <c r="I42" s="31"/>
    </row>
    <row r="43" spans="2:9" x14ac:dyDescent="0.25">
      <c r="B43" s="167" t="s">
        <v>125</v>
      </c>
      <c r="C43" s="26">
        <f>D9+D7</f>
        <v>60</v>
      </c>
      <c r="D43" s="19">
        <v>12</v>
      </c>
      <c r="E43" s="19" t="s">
        <v>56</v>
      </c>
      <c r="F43" s="61">
        <f>C43*D43</f>
        <v>720</v>
      </c>
      <c r="G43" s="61">
        <v>12</v>
      </c>
      <c r="H43" s="62">
        <f>F43*G43</f>
        <v>8640</v>
      </c>
      <c r="I43" s="170">
        <f>H43/$D$7</f>
        <v>432</v>
      </c>
    </row>
    <row r="44" spans="2:9" x14ac:dyDescent="0.25">
      <c r="B44" s="182" t="s">
        <v>59</v>
      </c>
      <c r="C44" s="148"/>
      <c r="D44" s="148"/>
      <c r="E44" s="148"/>
      <c r="F44" s="260"/>
      <c r="G44" s="260"/>
      <c r="H44" s="258">
        <f>SUM(H43:H43)</f>
        <v>8640</v>
      </c>
      <c r="I44" s="259">
        <f>SUM(I43:I43)</f>
        <v>432</v>
      </c>
    </row>
    <row r="45" spans="2:9" x14ac:dyDescent="0.25">
      <c r="B45" s="169" t="s">
        <v>61</v>
      </c>
      <c r="C45" s="26"/>
      <c r="D45" s="19"/>
      <c r="E45" s="19"/>
      <c r="F45" s="61"/>
      <c r="G45" s="61"/>
      <c r="H45" s="62"/>
      <c r="I45" s="170"/>
    </row>
    <row r="46" spans="2:9" x14ac:dyDescent="0.25">
      <c r="B46" s="167" t="s">
        <v>126</v>
      </c>
      <c r="C46" s="26">
        <f>D16</f>
        <v>31</v>
      </c>
      <c r="D46" s="19">
        <v>1</v>
      </c>
      <c r="E46" s="19" t="s">
        <v>36</v>
      </c>
      <c r="F46" s="61">
        <f>C46*D46</f>
        <v>31</v>
      </c>
      <c r="G46" s="61">
        <v>110</v>
      </c>
      <c r="H46" s="62">
        <f t="shared" ref="H46:H51" si="6">F46*G46</f>
        <v>3410</v>
      </c>
      <c r="I46" s="170">
        <f t="shared" ref="I46:I52" si="7">H46/$D$7</f>
        <v>170.5</v>
      </c>
    </row>
    <row r="47" spans="2:9" x14ac:dyDescent="0.25">
      <c r="B47" s="167" t="s">
        <v>127</v>
      </c>
      <c r="C47" s="26">
        <f>D16</f>
        <v>31</v>
      </c>
      <c r="D47" s="19"/>
      <c r="E47" s="19" t="s">
        <v>56</v>
      </c>
      <c r="F47" s="61">
        <v>4</v>
      </c>
      <c r="G47" s="61">
        <v>60</v>
      </c>
      <c r="H47" s="62">
        <f t="shared" si="6"/>
        <v>240</v>
      </c>
      <c r="I47" s="170">
        <f t="shared" si="7"/>
        <v>12</v>
      </c>
    </row>
    <row r="48" spans="2:9" x14ac:dyDescent="0.25">
      <c r="B48" s="167" t="s">
        <v>128</v>
      </c>
      <c r="C48" s="26">
        <f>D7</f>
        <v>20</v>
      </c>
      <c r="D48" s="19">
        <v>27</v>
      </c>
      <c r="E48" s="19" t="s">
        <v>30</v>
      </c>
      <c r="F48" s="61">
        <f>C48*D48</f>
        <v>540</v>
      </c>
      <c r="G48" s="61">
        <v>6</v>
      </c>
      <c r="H48" s="62">
        <f t="shared" si="6"/>
        <v>3240</v>
      </c>
      <c r="I48" s="170">
        <f t="shared" si="7"/>
        <v>162</v>
      </c>
    </row>
    <row r="49" spans="2:9" x14ac:dyDescent="0.25">
      <c r="B49" s="167" t="s">
        <v>129</v>
      </c>
      <c r="C49" s="26">
        <f>D7</f>
        <v>20</v>
      </c>
      <c r="D49" s="19"/>
      <c r="E49" s="19"/>
      <c r="F49" s="61">
        <v>1</v>
      </c>
      <c r="G49" s="61">
        <v>900</v>
      </c>
      <c r="H49" s="62">
        <f t="shared" si="6"/>
        <v>900</v>
      </c>
      <c r="I49" s="170">
        <f t="shared" si="7"/>
        <v>45</v>
      </c>
    </row>
    <row r="50" spans="2:9" x14ac:dyDescent="0.25">
      <c r="B50" s="167" t="s">
        <v>130</v>
      </c>
      <c r="C50" s="26">
        <f>D7+D9</f>
        <v>60</v>
      </c>
      <c r="D50" s="19">
        <v>1</v>
      </c>
      <c r="E50" s="19" t="s">
        <v>57</v>
      </c>
      <c r="F50" s="61">
        <f>C50*D50</f>
        <v>60</v>
      </c>
      <c r="G50" s="61">
        <v>25</v>
      </c>
      <c r="H50" s="62">
        <f t="shared" si="6"/>
        <v>1500</v>
      </c>
      <c r="I50" s="170">
        <f t="shared" si="7"/>
        <v>75</v>
      </c>
    </row>
    <row r="51" spans="2:9" x14ac:dyDescent="0.25">
      <c r="B51" s="167" t="s">
        <v>131</v>
      </c>
      <c r="C51" s="19"/>
      <c r="D51" s="19"/>
      <c r="E51" s="19"/>
      <c r="F51" s="61">
        <v>1</v>
      </c>
      <c r="G51" s="61">
        <v>60</v>
      </c>
      <c r="H51" s="62">
        <f t="shared" si="6"/>
        <v>60</v>
      </c>
      <c r="I51" s="170">
        <f t="shared" si="7"/>
        <v>3</v>
      </c>
    </row>
    <row r="52" spans="2:9" x14ac:dyDescent="0.25">
      <c r="B52" s="167" t="s">
        <v>7</v>
      </c>
      <c r="C52" s="19"/>
      <c r="D52" s="19"/>
      <c r="E52" s="19"/>
      <c r="F52" s="61"/>
      <c r="G52" s="275">
        <v>0.05</v>
      </c>
      <c r="H52" s="62">
        <f>SUM(H27:H32,H35:H40,H46:H51)*G52</f>
        <v>671.50500000000011</v>
      </c>
      <c r="I52" s="170">
        <f t="shared" si="7"/>
        <v>33.575250000000004</v>
      </c>
    </row>
    <row r="53" spans="2:9" x14ac:dyDescent="0.25">
      <c r="B53" s="168" t="s">
        <v>70</v>
      </c>
      <c r="C53" s="9"/>
      <c r="D53" s="9"/>
      <c r="E53" s="9"/>
      <c r="F53" s="261"/>
      <c r="G53" s="261"/>
      <c r="H53" s="162">
        <f>SUM(H46:H52)</f>
        <v>10021.505000000001</v>
      </c>
      <c r="I53" s="171">
        <f>SUM(I46:I52)</f>
        <v>501.07524999999998</v>
      </c>
    </row>
    <row r="54" spans="2:9" ht="15.75" thickBot="1" x14ac:dyDescent="0.3">
      <c r="B54" s="163" t="s">
        <v>79</v>
      </c>
      <c r="C54" s="97"/>
      <c r="D54" s="97"/>
      <c r="E54" s="97"/>
      <c r="F54" s="255"/>
      <c r="G54" s="255"/>
      <c r="H54" s="256">
        <f>SUM(H33+H41+H44+H53)</f>
        <v>22741.605000000003</v>
      </c>
      <c r="I54" s="257">
        <f>SUM(I33+I41+I44+I53)</f>
        <v>1137.08025</v>
      </c>
    </row>
    <row r="55" spans="2:9" ht="15.75" thickBot="1" x14ac:dyDescent="0.3">
      <c r="B55" s="6"/>
      <c r="C55" s="6"/>
      <c r="D55" s="6"/>
      <c r="E55" s="6"/>
      <c r="F55" s="6"/>
      <c r="G55" s="17"/>
      <c r="H55" s="6"/>
      <c r="I55" s="6"/>
    </row>
    <row r="56" spans="2:9" x14ac:dyDescent="0.25">
      <c r="B56" s="293" t="s">
        <v>73</v>
      </c>
      <c r="C56" s="294"/>
      <c r="D56" s="294"/>
      <c r="E56" s="294"/>
      <c r="F56" s="294"/>
      <c r="G56" s="294"/>
      <c r="H56" s="294"/>
      <c r="I56" s="295"/>
    </row>
    <row r="57" spans="2:9" x14ac:dyDescent="0.25">
      <c r="B57" s="175" t="s">
        <v>0</v>
      </c>
      <c r="C57" s="176"/>
      <c r="D57" s="176"/>
      <c r="E57" s="176"/>
      <c r="F57" s="262"/>
      <c r="G57" s="262"/>
      <c r="H57" s="262" t="s">
        <v>136</v>
      </c>
      <c r="I57" s="263" t="s">
        <v>137</v>
      </c>
    </row>
    <row r="58" spans="2:9" x14ac:dyDescent="0.25">
      <c r="B58" s="272" t="s">
        <v>11</v>
      </c>
      <c r="C58" s="9"/>
      <c r="D58" s="9"/>
      <c r="E58" s="9"/>
      <c r="F58" s="261"/>
      <c r="G58" s="261"/>
      <c r="H58" s="62">
        <f>'CHEVON_FIXED COST'!N10</f>
        <v>821.25</v>
      </c>
      <c r="I58" s="170">
        <f>H58/$D$7</f>
        <v>41.0625</v>
      </c>
    </row>
    <row r="59" spans="2:9" x14ac:dyDescent="0.25">
      <c r="B59" s="273" t="s">
        <v>71</v>
      </c>
      <c r="C59" s="9"/>
      <c r="D59" s="9"/>
      <c r="E59" s="9"/>
      <c r="F59" s="261"/>
      <c r="G59" s="261"/>
      <c r="H59" s="62">
        <f>'CHEVON_FIXED COST'!N18</f>
        <v>1173</v>
      </c>
      <c r="I59" s="170">
        <f t="shared" ref="I59:I61" si="8">H59/$D$7</f>
        <v>58.65</v>
      </c>
    </row>
    <row r="60" spans="2:9" x14ac:dyDescent="0.25">
      <c r="B60" s="272" t="s">
        <v>72</v>
      </c>
      <c r="C60" s="9"/>
      <c r="D60" s="9"/>
      <c r="E60" s="9"/>
      <c r="F60" s="261"/>
      <c r="G60" s="261"/>
      <c r="H60" s="62">
        <f>'CHEVON_FIXED COST'!N31</f>
        <v>310.25</v>
      </c>
      <c r="I60" s="170">
        <f>H60/$D$7</f>
        <v>15.512499999999999</v>
      </c>
    </row>
    <row r="61" spans="2:9" x14ac:dyDescent="0.25">
      <c r="B61" s="273" t="s">
        <v>140</v>
      </c>
      <c r="C61" s="33"/>
      <c r="D61" s="33"/>
      <c r="E61" s="33"/>
      <c r="F61" s="264"/>
      <c r="G61" s="264"/>
      <c r="H61" s="62">
        <f>'CHEVON_FIXED COST'!N36</f>
        <v>0</v>
      </c>
      <c r="I61" s="170">
        <f t="shared" si="8"/>
        <v>0</v>
      </c>
    </row>
    <row r="62" spans="2:9" ht="15.75" thickBot="1" x14ac:dyDescent="0.3">
      <c r="B62" s="274" t="s">
        <v>8</v>
      </c>
      <c r="C62" s="184"/>
      <c r="D62" s="184"/>
      <c r="E62" s="184"/>
      <c r="F62" s="265"/>
      <c r="G62" s="265"/>
      <c r="H62" s="79">
        <f>'CHEVON_FIXED COST'!N44</f>
        <v>210</v>
      </c>
      <c r="I62" s="185">
        <f>H62/$D$7</f>
        <v>10.5</v>
      </c>
    </row>
    <row r="63" spans="2:9" ht="15.75" thickBot="1" x14ac:dyDescent="0.3">
      <c r="B63" s="189" t="s">
        <v>76</v>
      </c>
      <c r="C63" s="190"/>
      <c r="D63" s="190"/>
      <c r="E63" s="190"/>
      <c r="F63" s="266"/>
      <c r="G63" s="266"/>
      <c r="H63" s="191">
        <f>SUM(H58:H62)</f>
        <v>2514.5</v>
      </c>
      <c r="I63" s="192">
        <f>SUM(I58:I62)</f>
        <v>125.72500000000001</v>
      </c>
    </row>
    <row r="64" spans="2:9" ht="15.75" thickBot="1" x14ac:dyDescent="0.3">
      <c r="B64" s="186" t="s">
        <v>77</v>
      </c>
      <c r="C64" s="144"/>
      <c r="D64" s="144"/>
      <c r="E64" s="144"/>
      <c r="F64" s="267"/>
      <c r="G64" s="267"/>
      <c r="H64" s="187">
        <f>SUM(H54+H63)</f>
        <v>25256.105000000003</v>
      </c>
      <c r="I64" s="188">
        <f>SUM(I54+I63)</f>
        <v>1262.8052499999999</v>
      </c>
    </row>
    <row r="65" spans="2:9" ht="15.75" thickBot="1" x14ac:dyDescent="0.3">
      <c r="B65" s="145"/>
      <c r="C65" s="34"/>
      <c r="D65" s="34"/>
      <c r="E65" s="34"/>
      <c r="F65" s="34"/>
      <c r="G65" s="34"/>
      <c r="H65" s="35"/>
      <c r="I65" s="34"/>
    </row>
    <row r="66" spans="2:9" x14ac:dyDescent="0.25">
      <c r="B66" s="157" t="s">
        <v>80</v>
      </c>
      <c r="C66" s="177"/>
      <c r="D66" s="177"/>
      <c r="E66" s="177"/>
      <c r="F66" s="177"/>
      <c r="G66" s="177"/>
      <c r="H66" s="178"/>
      <c r="I66" s="179"/>
    </row>
    <row r="67" spans="2:9" x14ac:dyDescent="0.25">
      <c r="B67" s="175" t="s">
        <v>0</v>
      </c>
      <c r="C67" s="180"/>
      <c r="D67" s="180"/>
      <c r="E67" s="180"/>
      <c r="F67" s="268"/>
      <c r="G67" s="268"/>
      <c r="H67" s="270" t="s">
        <v>81</v>
      </c>
      <c r="I67" s="271" t="s">
        <v>82</v>
      </c>
    </row>
    <row r="68" spans="2:9" x14ac:dyDescent="0.25">
      <c r="B68" s="166" t="s">
        <v>141</v>
      </c>
      <c r="C68" s="27"/>
      <c r="D68" s="27"/>
      <c r="E68" s="27"/>
      <c r="F68" s="88"/>
      <c r="G68" s="88"/>
      <c r="H68" s="162">
        <f>H22-H54</f>
        <v>-9429.1050000000032</v>
      </c>
      <c r="I68" s="171">
        <f>I22-I54</f>
        <v>-471.45524999999998</v>
      </c>
    </row>
    <row r="69" spans="2:9" x14ac:dyDescent="0.25">
      <c r="B69" s="166" t="s">
        <v>142</v>
      </c>
      <c r="C69" s="27"/>
      <c r="D69" s="27"/>
      <c r="E69" s="27"/>
      <c r="F69" s="88"/>
      <c r="G69" s="88"/>
      <c r="H69" s="162">
        <f>H22-H63</f>
        <v>10798</v>
      </c>
      <c r="I69" s="171">
        <f>I22-I63</f>
        <v>539.9</v>
      </c>
    </row>
    <row r="70" spans="2:9" ht="15.75" thickBot="1" x14ac:dyDescent="0.3">
      <c r="B70" s="172" t="s">
        <v>143</v>
      </c>
      <c r="C70" s="32"/>
      <c r="D70" s="32"/>
      <c r="E70" s="32"/>
      <c r="F70" s="269"/>
      <c r="G70" s="269"/>
      <c r="H70" s="173">
        <f>H22-H64</f>
        <v>-11943.605000000003</v>
      </c>
      <c r="I70" s="174">
        <f>I22-I64</f>
        <v>-597.18024999999989</v>
      </c>
    </row>
    <row r="72" spans="2:9" x14ac:dyDescent="0.25">
      <c r="B72" s="36"/>
    </row>
    <row r="73" spans="2:9" x14ac:dyDescent="0.25">
      <c r="B73" s="36"/>
      <c r="C73" s="36"/>
      <c r="D73" s="36"/>
      <c r="E73" s="36"/>
      <c r="F73" s="36"/>
      <c r="G73" s="37"/>
      <c r="H73" s="37"/>
      <c r="I73" s="37"/>
    </row>
    <row r="74" spans="2:9" x14ac:dyDescent="0.25">
      <c r="B74" s="36"/>
      <c r="C74" s="36"/>
      <c r="D74" s="36"/>
      <c r="E74" s="36"/>
      <c r="F74" s="36"/>
      <c r="G74" s="37"/>
      <c r="H74" s="37"/>
      <c r="I74" s="37"/>
    </row>
  </sheetData>
  <mergeCells count="5">
    <mergeCell ref="B23:H23"/>
    <mergeCell ref="B2:I2"/>
    <mergeCell ref="B3:I3"/>
    <mergeCell ref="B56:I56"/>
    <mergeCell ref="B5:D5"/>
  </mergeCells>
  <conditionalFormatting sqref="H68:I70">
    <cfRule type="cellIs" dxfId="5" priority="2" operator="lessThan">
      <formula>0</formula>
    </cfRule>
    <cfRule type="cellIs" priority="3" operator="lessThanOrEqual">
      <formula>0</formula>
    </cfRule>
    <cfRule type="cellIs" dxfId="4" priority="4" operator="greaterThan">
      <formula>0</formula>
    </cfRule>
  </conditionalFormatting>
  <conditionalFormatting sqref="H73">
    <cfRule type="cellIs" dxfId="3" priority="1" operator="greaterThan">
      <formula>0</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32"/>
  <sheetViews>
    <sheetView workbookViewId="0">
      <selection activeCell="D30" sqref="D30"/>
    </sheetView>
  </sheetViews>
  <sheetFormatPr defaultRowHeight="15" x14ac:dyDescent="0.25"/>
  <cols>
    <col min="1" max="2" width="9.140625" style="104"/>
    <col min="3" max="3" width="14.140625" style="104" bestFit="1" customWidth="1"/>
    <col min="4" max="4" width="12.7109375" style="104" bestFit="1" customWidth="1"/>
    <col min="5" max="7" width="13.5703125" style="104" bestFit="1" customWidth="1"/>
    <col min="8" max="8" width="14.28515625" style="104" bestFit="1" customWidth="1"/>
    <col min="9" max="9" width="14.28515625" style="104" customWidth="1"/>
    <col min="10" max="10" width="14.28515625" style="104" bestFit="1" customWidth="1"/>
    <col min="11" max="11" width="14.28515625" style="104" customWidth="1"/>
    <col min="12" max="16384" width="9.140625" style="104"/>
  </cols>
  <sheetData>
    <row r="1" spans="2:11" ht="15.75" thickBot="1" x14ac:dyDescent="0.3"/>
    <row r="2" spans="2:11" ht="19.5" thickBot="1" x14ac:dyDescent="0.35">
      <c r="B2" s="299" t="s">
        <v>132</v>
      </c>
      <c r="C2" s="288"/>
      <c r="D2" s="288"/>
      <c r="E2" s="288"/>
      <c r="F2" s="288"/>
      <c r="G2" s="288"/>
      <c r="H2" s="288"/>
      <c r="I2" s="288"/>
      <c r="J2" s="288"/>
      <c r="K2" s="289"/>
    </row>
    <row r="3" spans="2:11" ht="19.5" thickBot="1" x14ac:dyDescent="0.35">
      <c r="B3" s="300" t="s">
        <v>62</v>
      </c>
      <c r="C3" s="301"/>
      <c r="D3" s="301"/>
      <c r="E3" s="301"/>
      <c r="F3" s="301"/>
      <c r="G3" s="301"/>
      <c r="H3" s="301"/>
      <c r="I3" s="301"/>
      <c r="J3" s="301"/>
      <c r="K3" s="302"/>
    </row>
    <row r="4" spans="2:11" ht="16.5" thickBot="1" x14ac:dyDescent="0.3">
      <c r="B4" s="303" t="s">
        <v>63</v>
      </c>
      <c r="C4" s="304"/>
      <c r="D4" s="304"/>
      <c r="E4" s="304"/>
      <c r="F4" s="304"/>
      <c r="G4" s="304"/>
      <c r="H4" s="304"/>
      <c r="I4" s="304"/>
      <c r="J4" s="304"/>
      <c r="K4" s="305"/>
    </row>
    <row r="5" spans="2:11" ht="16.5" thickBot="1" x14ac:dyDescent="0.3">
      <c r="B5" s="306" t="s">
        <v>86</v>
      </c>
      <c r="C5" s="307"/>
      <c r="D5" s="307"/>
      <c r="E5" s="307"/>
      <c r="F5" s="307"/>
      <c r="G5" s="307"/>
      <c r="H5" s="307"/>
      <c r="I5" s="307"/>
      <c r="J5" s="307"/>
      <c r="K5" s="308"/>
    </row>
    <row r="6" spans="2:11" ht="15.75" x14ac:dyDescent="0.25">
      <c r="B6" s="105"/>
      <c r="C6" s="106"/>
      <c r="D6" s="107"/>
      <c r="E6" s="309" t="s">
        <v>64</v>
      </c>
      <c r="F6" s="310"/>
      <c r="G6" s="311"/>
      <c r="H6" s="108"/>
      <c r="I6" s="309" t="s">
        <v>65</v>
      </c>
      <c r="J6" s="310"/>
      <c r="K6" s="312"/>
    </row>
    <row r="7" spans="2:11" x14ac:dyDescent="0.25">
      <c r="B7" s="105"/>
      <c r="C7" s="106"/>
      <c r="D7" s="107"/>
      <c r="E7" s="109">
        <v>0.5</v>
      </c>
      <c r="F7" s="110">
        <v>0.25</v>
      </c>
      <c r="G7" s="110">
        <v>0.1</v>
      </c>
      <c r="H7" s="111" t="s">
        <v>85</v>
      </c>
      <c r="I7" s="110">
        <v>0.1</v>
      </c>
      <c r="J7" s="110">
        <v>0.25</v>
      </c>
      <c r="K7" s="112">
        <v>0.5</v>
      </c>
    </row>
    <row r="8" spans="2:11" x14ac:dyDescent="0.25">
      <c r="B8" s="113"/>
      <c r="C8" s="114"/>
      <c r="D8" s="115"/>
      <c r="E8" s="116">
        <f>ROUND((H8*(1-E7)),2)</f>
        <v>3.75</v>
      </c>
      <c r="F8" s="117">
        <f>ROUND((H8*(1-F7)),2)</f>
        <v>5.63</v>
      </c>
      <c r="G8" s="117">
        <f>ROUND((H8*(1-G7)),2)</f>
        <v>6.75</v>
      </c>
      <c r="H8" s="118">
        <f>'CHEVON_ENTERPRISE BUDGET'!G20</f>
        <v>7.5</v>
      </c>
      <c r="I8" s="117">
        <f>ROUND(($H$8*(1+I$7)),2)</f>
        <v>8.25</v>
      </c>
      <c r="J8" s="117">
        <f t="shared" ref="J8:K8" si="0">ROUND(($H$8*(1+J$7)),2)</f>
        <v>9.3800000000000008</v>
      </c>
      <c r="K8" s="119">
        <f t="shared" si="0"/>
        <v>11.25</v>
      </c>
    </row>
    <row r="9" spans="2:11" x14ac:dyDescent="0.25">
      <c r="B9" s="317" t="s">
        <v>66</v>
      </c>
      <c r="C9" s="120">
        <v>0.5</v>
      </c>
      <c r="D9" s="121">
        <f>ROUND($D$12*(1-$C9),2)</f>
        <v>852.5</v>
      </c>
      <c r="E9" s="122">
        <f>($D9*E$8)-'CHEVON_ENTERPRISE BUDGET'!$H$64</f>
        <v>-22059.230000000003</v>
      </c>
      <c r="F9" s="122">
        <f>($D9*F$8)-'CHEVON_ENTERPRISE BUDGET'!$H$64</f>
        <v>-20456.530000000002</v>
      </c>
      <c r="G9" s="122">
        <f>($D9*G$8)-'CHEVON_ENTERPRISE BUDGET'!$H$64</f>
        <v>-19501.730000000003</v>
      </c>
      <c r="H9" s="122">
        <f>($D9*H$8)-'CHEVON_ENTERPRISE BUDGET'!$H$64</f>
        <v>-18862.355000000003</v>
      </c>
      <c r="I9" s="122">
        <f>($D9*I$8)-'CHEVON_ENTERPRISE BUDGET'!$H$64</f>
        <v>-18222.980000000003</v>
      </c>
      <c r="J9" s="122">
        <f>($D9*J$8)-'CHEVON_ENTERPRISE BUDGET'!$H$64</f>
        <v>-17259.655000000002</v>
      </c>
      <c r="K9" s="123">
        <f>($D9*K$8)-'CHEVON_ENTERPRISE BUDGET'!$H$64</f>
        <v>-15665.480000000003</v>
      </c>
    </row>
    <row r="10" spans="2:11" x14ac:dyDescent="0.25">
      <c r="B10" s="318"/>
      <c r="C10" s="124">
        <v>0.25</v>
      </c>
      <c r="D10" s="125">
        <f t="shared" ref="D10" si="1">ROUND($D$12*(1-$C10),2)</f>
        <v>1278.75</v>
      </c>
      <c r="E10" s="122">
        <f>($D10*E$8)-'CHEVON_ENTERPRISE BUDGET'!$H$64</f>
        <v>-20460.792500000003</v>
      </c>
      <c r="F10" s="122">
        <f>($D10*F$8)-'CHEVON_ENTERPRISE BUDGET'!$H$64</f>
        <v>-18056.742500000004</v>
      </c>
      <c r="G10" s="122">
        <f>($D10*G$8)-'CHEVON_ENTERPRISE BUDGET'!$H$64</f>
        <v>-16624.542500000003</v>
      </c>
      <c r="H10" s="122">
        <f>($D10*H$8)-'CHEVON_ENTERPRISE BUDGET'!$H$64</f>
        <v>-15665.480000000003</v>
      </c>
      <c r="I10" s="122">
        <f>($D10*I$8)-'CHEVON_ENTERPRISE BUDGET'!$H$64</f>
        <v>-14706.417500000003</v>
      </c>
      <c r="J10" s="122">
        <f>($D10*J$8)-'CHEVON_ENTERPRISE BUDGET'!$H$64</f>
        <v>-13261.430000000002</v>
      </c>
      <c r="K10" s="123">
        <f>($D10*K$8)-'CHEVON_ENTERPRISE BUDGET'!$H$64</f>
        <v>-10870.167500000003</v>
      </c>
    </row>
    <row r="11" spans="2:11" x14ac:dyDescent="0.25">
      <c r="B11" s="319"/>
      <c r="C11" s="124">
        <v>0.1</v>
      </c>
      <c r="D11" s="125">
        <f>ROUND($D$12*(1-$C11),2)</f>
        <v>1534.5</v>
      </c>
      <c r="E11" s="122">
        <f>($D11*E$8)-'CHEVON_ENTERPRISE BUDGET'!$H$64</f>
        <v>-19501.730000000003</v>
      </c>
      <c r="F11" s="122">
        <f>($D11*F$8)-'CHEVON_ENTERPRISE BUDGET'!$H$64</f>
        <v>-16616.870000000003</v>
      </c>
      <c r="G11" s="122">
        <f>($D11*G$8)-'CHEVON_ENTERPRISE BUDGET'!$H$64</f>
        <v>-14898.230000000003</v>
      </c>
      <c r="H11" s="122">
        <f>($D11*H$8)-'CHEVON_ENTERPRISE BUDGET'!$H$64</f>
        <v>-13747.355000000003</v>
      </c>
      <c r="I11" s="122">
        <f>($D11*I$8)-'CHEVON_ENTERPRISE BUDGET'!$H$64</f>
        <v>-12596.480000000003</v>
      </c>
      <c r="J11" s="122">
        <f>($D11*J$8)-'CHEVON_ENTERPRISE BUDGET'!$H$64</f>
        <v>-10862.495000000003</v>
      </c>
      <c r="K11" s="123">
        <f>($D11*K$8)-'CHEVON_ENTERPRISE BUDGET'!$H$64</f>
        <v>-7992.9800000000032</v>
      </c>
    </row>
    <row r="12" spans="2:11" x14ac:dyDescent="0.25">
      <c r="B12" s="126"/>
      <c r="C12" s="127" t="s">
        <v>84</v>
      </c>
      <c r="D12" s="128">
        <f>'CHEVON_ENTERPRISE BUDGET'!F20</f>
        <v>1705</v>
      </c>
      <c r="E12" s="122">
        <f>($D12*E$8)-'CHEVON_ENTERPRISE BUDGET'!$H$64</f>
        <v>-18862.355000000003</v>
      </c>
      <c r="F12" s="122">
        <f>($D12*F$8)-'CHEVON_ENTERPRISE BUDGET'!$H$64</f>
        <v>-15656.955000000004</v>
      </c>
      <c r="G12" s="122">
        <f>($D12*G$8)-'CHEVON_ENTERPRISE BUDGET'!$H$64</f>
        <v>-13747.355000000003</v>
      </c>
      <c r="H12" s="122">
        <f>($D12*H$8)-'CHEVON_ENTERPRISE BUDGET'!$H$64</f>
        <v>-12468.605000000003</v>
      </c>
      <c r="I12" s="122">
        <f>($D12*I$8)-'CHEVON_ENTERPRISE BUDGET'!$H$64</f>
        <v>-11189.855000000003</v>
      </c>
      <c r="J12" s="122">
        <f>($D12*J$8)-'CHEVON_ENTERPRISE BUDGET'!$H$64</f>
        <v>-9263.2050000000017</v>
      </c>
      <c r="K12" s="123">
        <f>($D12*K$8)-'CHEVON_ENTERPRISE BUDGET'!$H$64</f>
        <v>-6074.8550000000032</v>
      </c>
    </row>
    <row r="13" spans="2:11" x14ac:dyDescent="0.25">
      <c r="B13" s="313" t="s">
        <v>67</v>
      </c>
      <c r="C13" s="110">
        <v>0.1</v>
      </c>
      <c r="D13" s="125">
        <f>ROUND($D$12*(1+$C13),2)</f>
        <v>1875.5</v>
      </c>
      <c r="E13" s="122">
        <f>($D13*E$8)-'CHEVON_ENTERPRISE BUDGET'!$H$64</f>
        <v>-18222.980000000003</v>
      </c>
      <c r="F13" s="122">
        <f>($D13*F$8)-'CHEVON_ENTERPRISE BUDGET'!$H$64</f>
        <v>-14697.040000000003</v>
      </c>
      <c r="G13" s="122">
        <f>($D13*G$8)-'CHEVON_ENTERPRISE BUDGET'!$H$64</f>
        <v>-12596.480000000003</v>
      </c>
      <c r="H13" s="122">
        <f>($D13*H$8)-'CHEVON_ENTERPRISE BUDGET'!$H$64</f>
        <v>-11189.855000000003</v>
      </c>
      <c r="I13" s="122">
        <f>($D13*I$8)-'CHEVON_ENTERPRISE BUDGET'!$H$64</f>
        <v>-9783.2300000000032</v>
      </c>
      <c r="J13" s="122">
        <f>($D13*J$8)-'CHEVON_ENTERPRISE BUDGET'!$H$64</f>
        <v>-7663.9150000000009</v>
      </c>
      <c r="K13" s="123">
        <f>($D13*K$8)-'CHEVON_ENTERPRISE BUDGET'!$H$64</f>
        <v>-4156.7300000000032</v>
      </c>
    </row>
    <row r="14" spans="2:11" x14ac:dyDescent="0.25">
      <c r="B14" s="314"/>
      <c r="C14" s="110">
        <v>0.25</v>
      </c>
      <c r="D14" s="125">
        <f>ROUND($D$12*(1+$C14),2)</f>
        <v>2131.25</v>
      </c>
      <c r="E14" s="122">
        <f>($D14*E$8)-'CHEVON_ENTERPRISE BUDGET'!$H$64</f>
        <v>-17263.917500000003</v>
      </c>
      <c r="F14" s="122">
        <f>($D14*F$8)-'CHEVON_ENTERPRISE BUDGET'!$H$64</f>
        <v>-13257.167500000003</v>
      </c>
      <c r="G14" s="122">
        <f>($D14*G$8)-'CHEVON_ENTERPRISE BUDGET'!$H$64</f>
        <v>-10870.167500000003</v>
      </c>
      <c r="H14" s="122">
        <f>($D14*H$8)-'CHEVON_ENTERPRISE BUDGET'!$H$64</f>
        <v>-9271.7300000000032</v>
      </c>
      <c r="I14" s="122">
        <f>($D14*I$8)-'CHEVON_ENTERPRISE BUDGET'!$H$64</f>
        <v>-7673.2925000000032</v>
      </c>
      <c r="J14" s="122">
        <f>($D14*J$8)-'CHEVON_ENTERPRISE BUDGET'!$H$64</f>
        <v>-5264.9800000000032</v>
      </c>
      <c r="K14" s="123">
        <f>($D14*K$8)-'CHEVON_ENTERPRISE BUDGET'!$H$64</f>
        <v>-1279.5425000000032</v>
      </c>
    </row>
    <row r="15" spans="2:11" ht="15.75" thickBot="1" x14ac:dyDescent="0.3">
      <c r="B15" s="316"/>
      <c r="C15" s="129">
        <v>0.5</v>
      </c>
      <c r="D15" s="130">
        <f>ROUND($D$12*(1+$C15),2)</f>
        <v>2557.5</v>
      </c>
      <c r="E15" s="131">
        <f>($D15*E$8)-'CHEVON_ENTERPRISE BUDGET'!$H$64</f>
        <v>-15665.480000000003</v>
      </c>
      <c r="F15" s="131">
        <f>($D15*F$8)-'CHEVON_ENTERPRISE BUDGET'!$H$64</f>
        <v>-10857.380000000003</v>
      </c>
      <c r="G15" s="131">
        <f>($D15*G$8)-'CHEVON_ENTERPRISE BUDGET'!$H$64</f>
        <v>-7992.9800000000032</v>
      </c>
      <c r="H15" s="131">
        <f>($D15*H$8)-'CHEVON_ENTERPRISE BUDGET'!$H$64</f>
        <v>-6074.8550000000032</v>
      </c>
      <c r="I15" s="131">
        <f>($D15*I$8)-'CHEVON_ENTERPRISE BUDGET'!$H$64</f>
        <v>-4156.7300000000032</v>
      </c>
      <c r="J15" s="131">
        <f>($D15*J$8)-'CHEVON_ENTERPRISE BUDGET'!$H$64</f>
        <v>-1266.755000000001</v>
      </c>
      <c r="K15" s="132">
        <f>($D15*K$8)-'CHEVON_ENTERPRISE BUDGET'!$H$64</f>
        <v>3515.7699999999968</v>
      </c>
    </row>
    <row r="18" spans="2:11" ht="15.75" thickBot="1" x14ac:dyDescent="0.3">
      <c r="J18" s="133"/>
      <c r="K18" s="133"/>
    </row>
    <row r="19" spans="2:11" ht="19.5" thickBot="1" x14ac:dyDescent="0.35">
      <c r="B19" s="299" t="s">
        <v>132</v>
      </c>
      <c r="C19" s="288"/>
      <c r="D19" s="288"/>
      <c r="E19" s="288"/>
      <c r="F19" s="288"/>
      <c r="G19" s="288"/>
      <c r="H19" s="288"/>
      <c r="I19" s="288"/>
      <c r="J19" s="288"/>
      <c r="K19" s="289"/>
    </row>
    <row r="20" spans="2:11" ht="19.5" thickBot="1" x14ac:dyDescent="0.35">
      <c r="B20" s="300" t="s">
        <v>68</v>
      </c>
      <c r="C20" s="301"/>
      <c r="D20" s="301"/>
      <c r="E20" s="301"/>
      <c r="F20" s="301"/>
      <c r="G20" s="301"/>
      <c r="H20" s="301"/>
      <c r="I20" s="301"/>
      <c r="J20" s="301"/>
      <c r="K20" s="302"/>
    </row>
    <row r="21" spans="2:11" ht="16.5" thickBot="1" x14ac:dyDescent="0.3">
      <c r="B21" s="303" t="s">
        <v>69</v>
      </c>
      <c r="C21" s="304"/>
      <c r="D21" s="304"/>
      <c r="E21" s="304"/>
      <c r="F21" s="304"/>
      <c r="G21" s="304"/>
      <c r="H21" s="304"/>
      <c r="I21" s="304"/>
      <c r="J21" s="304"/>
      <c r="K21" s="305"/>
    </row>
    <row r="22" spans="2:11" ht="16.5" thickBot="1" x14ac:dyDescent="0.3">
      <c r="B22" s="306" t="s">
        <v>87</v>
      </c>
      <c r="C22" s="307"/>
      <c r="D22" s="307"/>
      <c r="E22" s="307"/>
      <c r="F22" s="307"/>
      <c r="G22" s="307"/>
      <c r="H22" s="307"/>
      <c r="I22" s="307"/>
      <c r="J22" s="307"/>
      <c r="K22" s="308"/>
    </row>
    <row r="23" spans="2:11" ht="15.75" x14ac:dyDescent="0.25">
      <c r="B23" s="105"/>
      <c r="C23" s="106"/>
      <c r="D23" s="134"/>
      <c r="E23" s="309" t="s">
        <v>64</v>
      </c>
      <c r="F23" s="310"/>
      <c r="G23" s="311"/>
      <c r="H23" s="108"/>
      <c r="I23" s="309" t="s">
        <v>65</v>
      </c>
      <c r="J23" s="310"/>
      <c r="K23" s="312"/>
    </row>
    <row r="24" spans="2:11" x14ac:dyDescent="0.25">
      <c r="B24" s="105"/>
      <c r="C24" s="106"/>
      <c r="D24" s="106"/>
      <c r="E24" s="110">
        <v>0.5</v>
      </c>
      <c r="F24" s="110">
        <v>0.25</v>
      </c>
      <c r="G24" s="110">
        <v>0.1</v>
      </c>
      <c r="H24" s="111" t="s">
        <v>85</v>
      </c>
      <c r="I24" s="110">
        <v>0.1</v>
      </c>
      <c r="J24" s="110">
        <v>0.25</v>
      </c>
      <c r="K24" s="112">
        <v>0.5</v>
      </c>
    </row>
    <row r="25" spans="2:11" x14ac:dyDescent="0.25">
      <c r="B25" s="105"/>
      <c r="C25" s="106"/>
      <c r="D25" s="115"/>
      <c r="E25" s="116">
        <f>ROUND(($H$25*(1-E24)),2)</f>
        <v>3.75</v>
      </c>
      <c r="F25" s="117">
        <f t="shared" ref="F25:G25" si="2">ROUND(($H$25*(1-F24)),2)</f>
        <v>5.63</v>
      </c>
      <c r="G25" s="117">
        <f t="shared" si="2"/>
        <v>6.75</v>
      </c>
      <c r="H25" s="118">
        <f>'CHEVON_ENTERPRISE BUDGET'!G20</f>
        <v>7.5</v>
      </c>
      <c r="I25" s="117">
        <f>ROUND(($H$25*(1+I$24)),2)</f>
        <v>8.25</v>
      </c>
      <c r="J25" s="117">
        <f t="shared" ref="J25:K25" si="3">ROUND(($H$25*(1+J$24)),2)</f>
        <v>9.3800000000000008</v>
      </c>
      <c r="K25" s="119">
        <f t="shared" si="3"/>
        <v>11.25</v>
      </c>
    </row>
    <row r="26" spans="2:11" x14ac:dyDescent="0.25">
      <c r="B26" s="313" t="s">
        <v>66</v>
      </c>
      <c r="C26" s="135">
        <v>0.5</v>
      </c>
      <c r="D26" s="136">
        <f>ROUND(($D$29*(1-$C26)),2)</f>
        <v>12628.05</v>
      </c>
      <c r="E26" s="137">
        <f>ROUND($D26/E$25,0)</f>
        <v>3367</v>
      </c>
      <c r="F26" s="137">
        <f>ROUND($D26/F$25,0)</f>
        <v>2243</v>
      </c>
      <c r="G26" s="137">
        <f>ROUND($D26/G$25,0)</f>
        <v>1871</v>
      </c>
      <c r="H26" s="137">
        <f t="shared" ref="H26:K32" si="4">ROUND($D26/H$25,0)</f>
        <v>1684</v>
      </c>
      <c r="I26" s="137">
        <f t="shared" si="4"/>
        <v>1531</v>
      </c>
      <c r="J26" s="137">
        <f t="shared" si="4"/>
        <v>1346</v>
      </c>
      <c r="K26" s="138">
        <f t="shared" si="4"/>
        <v>1122</v>
      </c>
    </row>
    <row r="27" spans="2:11" x14ac:dyDescent="0.25">
      <c r="B27" s="314"/>
      <c r="C27" s="110">
        <v>0.25</v>
      </c>
      <c r="D27" s="139">
        <f t="shared" ref="D27:D28" si="5">ROUND(($D$29*(1-$C27)),2)</f>
        <v>18942.080000000002</v>
      </c>
      <c r="E27" s="137">
        <f t="shared" ref="E27:G32" si="6">ROUND($D27/E$25,0)</f>
        <v>5051</v>
      </c>
      <c r="F27" s="137">
        <f t="shared" si="6"/>
        <v>3364</v>
      </c>
      <c r="G27" s="137">
        <f t="shared" si="6"/>
        <v>2806</v>
      </c>
      <c r="H27" s="137">
        <f t="shared" si="4"/>
        <v>2526</v>
      </c>
      <c r="I27" s="137">
        <f t="shared" si="4"/>
        <v>2296</v>
      </c>
      <c r="J27" s="137">
        <f t="shared" si="4"/>
        <v>2019</v>
      </c>
      <c r="K27" s="138">
        <f t="shared" si="4"/>
        <v>1684</v>
      </c>
    </row>
    <row r="28" spans="2:11" x14ac:dyDescent="0.25">
      <c r="B28" s="315"/>
      <c r="C28" s="110">
        <v>0.1</v>
      </c>
      <c r="D28" s="139">
        <f t="shared" si="5"/>
        <v>22730.49</v>
      </c>
      <c r="E28" s="137">
        <f t="shared" si="6"/>
        <v>6061</v>
      </c>
      <c r="F28" s="137">
        <f t="shared" si="6"/>
        <v>4037</v>
      </c>
      <c r="G28" s="137">
        <f t="shared" si="6"/>
        <v>3367</v>
      </c>
      <c r="H28" s="137">
        <f t="shared" si="4"/>
        <v>3031</v>
      </c>
      <c r="I28" s="137">
        <f t="shared" si="4"/>
        <v>2755</v>
      </c>
      <c r="J28" s="137">
        <f t="shared" si="4"/>
        <v>2423</v>
      </c>
      <c r="K28" s="138">
        <f t="shared" si="4"/>
        <v>2020</v>
      </c>
    </row>
    <row r="29" spans="2:11" x14ac:dyDescent="0.25">
      <c r="B29" s="126"/>
      <c r="C29" s="127" t="s">
        <v>24</v>
      </c>
      <c r="D29" s="140">
        <f>'CHEVON_ENTERPRISE BUDGET'!H64</f>
        <v>25256.105000000003</v>
      </c>
      <c r="E29" s="137">
        <f t="shared" si="6"/>
        <v>6735</v>
      </c>
      <c r="F29" s="137">
        <f t="shared" si="6"/>
        <v>4486</v>
      </c>
      <c r="G29" s="137">
        <f t="shared" si="6"/>
        <v>3742</v>
      </c>
      <c r="H29" s="137">
        <f>ROUND($D29/H$25,0)</f>
        <v>3367</v>
      </c>
      <c r="I29" s="137">
        <f t="shared" si="4"/>
        <v>3061</v>
      </c>
      <c r="J29" s="137">
        <f t="shared" si="4"/>
        <v>2693</v>
      </c>
      <c r="K29" s="138">
        <f t="shared" si="4"/>
        <v>2245</v>
      </c>
    </row>
    <row r="30" spans="2:11" x14ac:dyDescent="0.25">
      <c r="B30" s="313" t="s">
        <v>67</v>
      </c>
      <c r="C30" s="110">
        <v>0.1</v>
      </c>
      <c r="D30" s="139">
        <f>ROUND(($D$29*(1+$C30)),2)</f>
        <v>27781.72</v>
      </c>
      <c r="E30" s="137">
        <f t="shared" si="6"/>
        <v>7408</v>
      </c>
      <c r="F30" s="137">
        <f t="shared" si="6"/>
        <v>4935</v>
      </c>
      <c r="G30" s="137">
        <f t="shared" si="6"/>
        <v>4116</v>
      </c>
      <c r="H30" s="137">
        <f t="shared" si="4"/>
        <v>3704</v>
      </c>
      <c r="I30" s="137">
        <f t="shared" si="4"/>
        <v>3367</v>
      </c>
      <c r="J30" s="137">
        <f t="shared" si="4"/>
        <v>2962</v>
      </c>
      <c r="K30" s="138">
        <f t="shared" si="4"/>
        <v>2469</v>
      </c>
    </row>
    <row r="31" spans="2:11" x14ac:dyDescent="0.25">
      <c r="B31" s="314"/>
      <c r="C31" s="110">
        <v>0.25</v>
      </c>
      <c r="D31" s="139">
        <f>ROUND(($D$29*(1+$C31)),2)</f>
        <v>31570.13</v>
      </c>
      <c r="E31" s="137">
        <f t="shared" si="6"/>
        <v>8419</v>
      </c>
      <c r="F31" s="137">
        <f t="shared" si="6"/>
        <v>5607</v>
      </c>
      <c r="G31" s="137">
        <f t="shared" si="6"/>
        <v>4677</v>
      </c>
      <c r="H31" s="137">
        <f t="shared" si="4"/>
        <v>4209</v>
      </c>
      <c r="I31" s="137">
        <f t="shared" si="4"/>
        <v>3827</v>
      </c>
      <c r="J31" s="137">
        <f t="shared" si="4"/>
        <v>3366</v>
      </c>
      <c r="K31" s="138">
        <f t="shared" si="4"/>
        <v>2806</v>
      </c>
    </row>
    <row r="32" spans="2:11" ht="15.75" thickBot="1" x14ac:dyDescent="0.3">
      <c r="B32" s="316"/>
      <c r="C32" s="129">
        <v>0.5</v>
      </c>
      <c r="D32" s="141">
        <f>ROUND(($D$29*(1+$C32)),2)</f>
        <v>37884.160000000003</v>
      </c>
      <c r="E32" s="142">
        <f t="shared" si="6"/>
        <v>10102</v>
      </c>
      <c r="F32" s="142">
        <f t="shared" si="6"/>
        <v>6729</v>
      </c>
      <c r="G32" s="142">
        <f t="shared" si="6"/>
        <v>5612</v>
      </c>
      <c r="H32" s="142">
        <f t="shared" si="4"/>
        <v>5051</v>
      </c>
      <c r="I32" s="142">
        <f t="shared" si="4"/>
        <v>4592</v>
      </c>
      <c r="J32" s="142">
        <f t="shared" si="4"/>
        <v>4039</v>
      </c>
      <c r="K32" s="143">
        <f t="shared" si="4"/>
        <v>3367</v>
      </c>
    </row>
  </sheetData>
  <mergeCells count="16">
    <mergeCell ref="E23:G23"/>
    <mergeCell ref="I23:K23"/>
    <mergeCell ref="B26:B28"/>
    <mergeCell ref="B30:B32"/>
    <mergeCell ref="B9:B11"/>
    <mergeCell ref="B13:B15"/>
    <mergeCell ref="B19:K19"/>
    <mergeCell ref="B20:K20"/>
    <mergeCell ref="B21:K21"/>
    <mergeCell ref="B22:K22"/>
    <mergeCell ref="B2:K2"/>
    <mergeCell ref="B3:K3"/>
    <mergeCell ref="B4:K4"/>
    <mergeCell ref="B5:K5"/>
    <mergeCell ref="E6:G6"/>
    <mergeCell ref="I6:K6"/>
  </mergeCells>
  <conditionalFormatting sqref="E9:K15">
    <cfRule type="cellIs" dxfId="2" priority="1" operator="greaterThan">
      <formula>0</formula>
    </cfRule>
    <cfRule type="cellIs" dxfId="1" priority="2" operator="lessThan">
      <formula>0</formula>
    </cfRule>
    <cfRule type="cellIs" dxfId="0" priority="3" operator="greaterThan">
      <formula>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DESCRIPTION</vt:lpstr>
      <vt:lpstr>CHEVON_FIXED COST</vt:lpstr>
      <vt:lpstr>CHEVON_ENTERPRISE BUDGET</vt:lpstr>
      <vt:lpstr>ANALYSIS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Ermias Afeworki</dc:creator>
  <cp:lastModifiedBy>Caroline Chiu</cp:lastModifiedBy>
  <dcterms:created xsi:type="dcterms:W3CDTF">2014-07-25T20:10:12Z</dcterms:created>
  <dcterms:modified xsi:type="dcterms:W3CDTF">2015-06-16T21:17:32Z</dcterms:modified>
</cp:coreProperties>
</file>