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28620" windowHeight="12435" activeTab="0"/>
  </bookViews>
  <sheets>
    <sheet name="DESCRIPTION" sheetId="1" r:id="rId1"/>
    <sheet name="Rhubarb_Fixed Cost" sheetId="2" r:id="rId2"/>
    <sheet name="Rhubarb_Annual Budget" sheetId="3" r:id="rId3"/>
  </sheets>
  <definedNames/>
  <calcPr fullCalcOnLoad="1"/>
</workbook>
</file>

<file path=xl/comments2.xml><?xml version="1.0" encoding="utf-8"?>
<comments xmlns="http://schemas.openxmlformats.org/spreadsheetml/2006/main">
  <authors>
    <author>Ermias Afeworki</author>
  </authors>
  <commentList>
    <comment ref="K36" authorId="0">
      <text>
        <r>
          <rPr>
            <b/>
            <sz val="8"/>
            <rFont val="Tahoma"/>
            <family val="2"/>
          </rPr>
          <t>Ermias Afeworki:</t>
        </r>
        <r>
          <rPr>
            <sz val="8"/>
            <rFont val="Tahoma"/>
            <family val="2"/>
          </rPr>
          <t xml:space="preserve">
Every five years replacement cost is $1500</t>
        </r>
      </text>
    </comment>
  </commentList>
</comments>
</file>

<file path=xl/comments3.xml><?xml version="1.0" encoding="utf-8"?>
<comments xmlns="http://schemas.openxmlformats.org/spreadsheetml/2006/main">
  <authors>
    <author>Ermias Afeworki</author>
  </authors>
  <commentList>
    <comment ref="B26" authorId="0">
      <text>
        <r>
          <rPr>
            <b/>
            <sz val="8"/>
            <rFont val="Tahoma"/>
            <family val="2"/>
          </rPr>
          <t>Ermias Afeworki:</t>
        </r>
        <r>
          <rPr>
            <sz val="8"/>
            <rFont val="Tahoma"/>
            <family val="2"/>
          </rPr>
          <t xml:space="preserve">
Machine Operator</t>
        </r>
      </text>
    </comment>
    <comment ref="B52" authorId="0">
      <text>
        <r>
          <rPr>
            <b/>
            <sz val="8"/>
            <rFont val="Tahoma"/>
            <family val="2"/>
          </rPr>
          <t>Ermias Afeworki:</t>
        </r>
        <r>
          <rPr>
            <sz val="8"/>
            <rFont val="Tahoma"/>
            <family val="2"/>
          </rPr>
          <t xml:space="preserve">
Irrigation is Required only for the first three years</t>
        </r>
      </text>
    </comment>
  </commentList>
</comments>
</file>

<file path=xl/sharedStrings.xml><?xml version="1.0" encoding="utf-8"?>
<sst xmlns="http://schemas.openxmlformats.org/spreadsheetml/2006/main" count="205" uniqueCount="120">
  <si>
    <t>Acres</t>
  </si>
  <si>
    <t>Type</t>
  </si>
  <si>
    <t>Machinery</t>
  </si>
  <si>
    <t>Total Machinery</t>
  </si>
  <si>
    <t>Total Tool and Equipment</t>
  </si>
  <si>
    <t>Backpack sprayer</t>
  </si>
  <si>
    <t>Wheelbarrow</t>
  </si>
  <si>
    <t>Total Tools and Equipment</t>
  </si>
  <si>
    <t>Total Irrigation Cost</t>
  </si>
  <si>
    <t>12 X 10</t>
  </si>
  <si>
    <t>Total Building and Shelter Cost</t>
  </si>
  <si>
    <t>Soil test</t>
  </si>
  <si>
    <t>Internet and telephone</t>
  </si>
  <si>
    <t>Liability insurance</t>
  </si>
  <si>
    <t>Rhubarb</t>
  </si>
  <si>
    <t>Cultivator</t>
  </si>
  <si>
    <t>4 feet</t>
  </si>
  <si>
    <t>double bottom</t>
  </si>
  <si>
    <t>Refurbished</t>
  </si>
  <si>
    <t>Irrigation System (Rhubarb only)</t>
  </si>
  <si>
    <t>Maineline</t>
  </si>
  <si>
    <t>REVENUE</t>
  </si>
  <si>
    <t>Unit</t>
  </si>
  <si>
    <t>VARIABLE COST</t>
  </si>
  <si>
    <t>Seeds and Plants</t>
  </si>
  <si>
    <t>number</t>
  </si>
  <si>
    <t>Pest Management</t>
  </si>
  <si>
    <t>Labour activities</t>
  </si>
  <si>
    <t>hours</t>
  </si>
  <si>
    <t>Irrigating</t>
  </si>
  <si>
    <t>Harvesting</t>
  </si>
  <si>
    <t>Marketing</t>
  </si>
  <si>
    <t>ANNUAL FIXED COST</t>
  </si>
  <si>
    <t>Irrigation</t>
  </si>
  <si>
    <t>TOTAL ANNUAL FIXED COST</t>
  </si>
  <si>
    <t>gallons</t>
  </si>
  <si>
    <t>Planting</t>
  </si>
  <si>
    <t>Spraying insecticide</t>
  </si>
  <si>
    <t>Weeding</t>
  </si>
  <si>
    <t>Building</t>
  </si>
  <si>
    <t>Building and Shelter (Rhubarb only)</t>
  </si>
  <si>
    <t>Irrigation set up</t>
  </si>
  <si>
    <t>15 kgs</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</si>
  <si>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</si>
  <si>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 xml:space="preserve">Rhubarb Enterprise Budget, 0.5 Acre, Southwest British Columbia, Canada </t>
  </si>
  <si>
    <t>Transplants (crowns)</t>
  </si>
  <si>
    <t>Fish fertilizer</t>
  </si>
  <si>
    <t>Land preparation</t>
  </si>
  <si>
    <t>Spreading compost</t>
  </si>
  <si>
    <t>Repair and maintenance</t>
  </si>
  <si>
    <t>Interest on working capital</t>
  </si>
  <si>
    <t>TOTAL ANNUAL VARIABLE COST</t>
  </si>
  <si>
    <t>RETURNS OVER VARIABLE COST</t>
  </si>
  <si>
    <t>RETURNS OVER FIXED COST</t>
  </si>
  <si>
    <t>RETURNS OVER VARIABLE &amp; FIXED COST</t>
  </si>
  <si>
    <t>Total cultivated area</t>
  </si>
  <si>
    <t>Acre</t>
  </si>
  <si>
    <t>Sqft</t>
  </si>
  <si>
    <t>Bed size ( 100 feet x 4 feet)</t>
  </si>
  <si>
    <t>Number of 100 feet x 4 feet beds</t>
  </si>
  <si>
    <t>Beds</t>
  </si>
  <si>
    <t>Interest rate</t>
  </si>
  <si>
    <t xml:space="preserve"> Other crops area</t>
  </si>
  <si>
    <t>Rhubarb cultivated area</t>
  </si>
  <si>
    <t>Rhubarb area (square feet)</t>
  </si>
  <si>
    <t>Land lease</t>
  </si>
  <si>
    <t>Total overhead charges</t>
  </si>
  <si>
    <t>Rhubarb Annual Fixed Cost Calculation</t>
  </si>
  <si>
    <t>Plow</t>
  </si>
  <si>
    <t>Pick up truck</t>
  </si>
  <si>
    <t>Fertility and Nutrients</t>
  </si>
  <si>
    <t>Miscellaneous Expenses</t>
  </si>
  <si>
    <t>Fuel cost</t>
  </si>
  <si>
    <t>40 HP (used)</t>
  </si>
  <si>
    <t>48 inches (new)</t>
  </si>
  <si>
    <t>94,000 Kms</t>
  </si>
  <si>
    <t xml:space="preserve">Rotto tiller </t>
  </si>
  <si>
    <t xml:space="preserve">Tractor  </t>
  </si>
  <si>
    <t xml:space="preserve">Water </t>
  </si>
  <si>
    <t>Electricity</t>
  </si>
  <si>
    <t>$/Unit</t>
  </si>
  <si>
    <t>$/0.5 acre</t>
  </si>
  <si>
    <t>$/100' bed</t>
  </si>
  <si>
    <t>Quantity/0.5 acre</t>
  </si>
  <si>
    <t>Item</t>
  </si>
  <si>
    <t>pounds</t>
  </si>
  <si>
    <t>Chicken manure</t>
  </si>
  <si>
    <t>Mulching</t>
  </si>
  <si>
    <t>Ferric Phosphate (organic insecticide)</t>
  </si>
  <si>
    <t>Depreciation ($)</t>
  </si>
  <si>
    <t>Annual Cost ($)</t>
  </si>
  <si>
    <t>Repair &amp; Maint. ($)</t>
  </si>
  <si>
    <t>Insurance ($)</t>
  </si>
  <si>
    <t>Useful life (years)</t>
  </si>
  <si>
    <t>Trade-in value ($)</t>
  </si>
  <si>
    <t>Purchase price ($)</t>
  </si>
  <si>
    <t>Interest charge ($)</t>
  </si>
  <si>
    <t>Rhubarb annual cost ($)</t>
  </si>
  <si>
    <t xml:space="preserve">Establishing and Producing Rhubarb, Enterprise Budget, 0.5 Acre, Southwest British Columbia, Canada </t>
  </si>
  <si>
    <t>Office supplies</t>
  </si>
  <si>
    <t>Vehicle insurance</t>
  </si>
  <si>
    <t>Storage for machinery (seacan)</t>
  </si>
  <si>
    <t xml:space="preserve">Drip irrigation </t>
  </si>
  <si>
    <t>Miscellanous tools (hoses, scale, shovel, sprinkler, washing stand, knives etc)</t>
  </si>
  <si>
    <t xml:space="preserve"> Tables and tents</t>
  </si>
  <si>
    <t>Side dresser</t>
  </si>
  <si>
    <t>Brush cutter</t>
  </si>
  <si>
    <t>Lean to cooler</t>
  </si>
  <si>
    <t>Equipment and tools</t>
  </si>
  <si>
    <t>Overhead expenses</t>
  </si>
  <si>
    <t>Overhead Charges</t>
  </si>
  <si>
    <t>1st year</t>
  </si>
  <si>
    <t>2nd Year</t>
  </si>
  <si>
    <t>3rd Year</t>
  </si>
  <si>
    <t>NET RETURNS</t>
  </si>
  <si>
    <t>TOTAL ANNUAL &amp; VARIABLE COST</t>
  </si>
  <si>
    <t>ACKNOWLEDGMENTS</t>
  </si>
  <si>
    <t>The enterprise budgets project was generously funded by Vancouver City Savings Credit Union (Vancity).</t>
  </si>
  <si>
    <t>Support for this project does not necessarily imply Vancity's endorsement of the findings or contents here in.</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</si>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</sst>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1">
    <font>
      <sz val="11"/>
      <color theme="1"/>
      <name val="Calibri"/>
      <family val="2"/>
    </font>
    <font>
      <sz val="11"/>
      <color indexed="8"/>
      <name val="Calibri"/>
      <family val="2"/>
    </font>
    <font>
      <b/>
      <sz val="8"/>
      <name val="Tahoma"/>
      <family val="2"/>
    </font>
    <font>
      <sz val="8"/>
      <name val="Tahoma"/>
      <family val="2"/>
    </font>
    <font>
      <u val="single"/>
      <sz val="10"/>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2"/>
      <color indexed="8"/>
      <name val="Calibri"/>
      <family val="2"/>
    </font>
    <font>
      <sz val="14"/>
      <color indexed="8"/>
      <name val="Calibri"/>
      <family val="2"/>
    </font>
    <font>
      <sz val="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b/>
      <sz val="14"/>
      <color theme="1"/>
      <name val="Calibri"/>
      <family val="2"/>
    </font>
    <font>
      <b/>
      <sz val="14"/>
      <color rgb="FF000000"/>
      <name val="Calibri"/>
      <family val="2"/>
    </font>
    <font>
      <b/>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top/>
      <bottom/>
    </border>
    <border>
      <left style="medium"/>
      <right/>
      <top/>
      <bottom style="mediu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medium"/>
    </border>
    <border>
      <left/>
      <right style="thin"/>
      <top/>
      <bottom style="medium"/>
    </border>
    <border>
      <left style="medium"/>
      <right/>
      <top style="medium"/>
      <bottom style="thin"/>
    </border>
    <border>
      <left style="medium"/>
      <right style="thin"/>
      <top style="medium"/>
      <bottom style="thin"/>
    </border>
    <border>
      <left/>
      <right style="thin"/>
      <top style="medium"/>
      <bottom style="thin"/>
    </border>
    <border>
      <left/>
      <right style="medium"/>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top style="thin"/>
      <bottom/>
    </border>
    <border>
      <left/>
      <right style="medium"/>
      <top style="thin"/>
      <bottom/>
    </border>
    <border>
      <left style="thin"/>
      <right style="thin"/>
      <top style="medium"/>
      <bottom style="medium"/>
    </border>
    <border>
      <left/>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0">
    <xf numFmtId="0" fontId="0" fillId="0" borderId="0" xfId="0" applyFont="1" applyAlignment="1">
      <alignment/>
    </xf>
    <xf numFmtId="0" fontId="0" fillId="0" borderId="0" xfId="0" applyFont="1" applyFill="1" applyBorder="1" applyAlignment="1">
      <alignment/>
    </xf>
    <xf numFmtId="2" fontId="0" fillId="0" borderId="0" xfId="0" applyNumberFormat="1" applyFont="1" applyFill="1" applyBorder="1" applyAlignment="1">
      <alignment/>
    </xf>
    <xf numFmtId="0" fontId="0" fillId="0" borderId="0" xfId="0" applyBorder="1" applyAlignment="1">
      <alignment/>
    </xf>
    <xf numFmtId="0" fontId="44" fillId="0" borderId="0" xfId="0" applyFont="1" applyBorder="1" applyAlignment="1">
      <alignment/>
    </xf>
    <xf numFmtId="164" fontId="44" fillId="0" borderId="0" xfId="0" applyNumberFormat="1" applyFont="1" applyFill="1" applyBorder="1" applyAlignment="1">
      <alignment/>
    </xf>
    <xf numFmtId="0" fontId="0" fillId="0" borderId="0" xfId="0" applyNumberFormat="1" applyBorder="1" applyAlignment="1">
      <alignment/>
    </xf>
    <xf numFmtId="164" fontId="0" fillId="0" borderId="0" xfId="0" applyNumberFormat="1" applyBorder="1" applyAlignment="1">
      <alignment/>
    </xf>
    <xf numFmtId="0" fontId="0" fillId="0" borderId="0" xfId="0" applyNumberFormat="1" applyFill="1" applyBorder="1" applyAlignment="1">
      <alignment/>
    </xf>
    <xf numFmtId="0" fontId="46" fillId="0" borderId="10" xfId="0" applyFont="1" applyFill="1" applyBorder="1" applyAlignment="1">
      <alignment/>
    </xf>
    <xf numFmtId="0" fontId="0" fillId="0" borderId="10" xfId="0" applyFont="1" applyFill="1" applyBorder="1" applyAlignment="1">
      <alignment/>
    </xf>
    <xf numFmtId="0" fontId="46" fillId="0" borderId="11" xfId="0" applyFont="1" applyFill="1" applyBorder="1" applyAlignment="1">
      <alignment/>
    </xf>
    <xf numFmtId="2" fontId="46" fillId="0" borderId="11" xfId="0" applyNumberFormat="1" applyFont="1" applyFill="1" applyBorder="1" applyAlignment="1">
      <alignment/>
    </xf>
    <xf numFmtId="3" fontId="44" fillId="0" borderId="0" xfId="0" applyNumberFormat="1" applyFont="1" applyFill="1" applyBorder="1" applyAlignment="1">
      <alignment/>
    </xf>
    <xf numFmtId="0" fontId="0" fillId="0" borderId="0" xfId="0" applyFill="1" applyBorder="1" applyAlignment="1">
      <alignment/>
    </xf>
    <xf numFmtId="0" fontId="44" fillId="0" borderId="0" xfId="0" applyFont="1" applyFill="1" applyBorder="1" applyAlignment="1">
      <alignment/>
    </xf>
    <xf numFmtId="0" fontId="0" fillId="0" borderId="0" xfId="0" applyFont="1" applyFill="1" applyBorder="1" applyAlignment="1">
      <alignment horizontal="center" vertical="center" wrapText="1"/>
    </xf>
    <xf numFmtId="0" fontId="46" fillId="0" borderId="0" xfId="0" applyFont="1" applyFill="1" applyBorder="1" applyAlignment="1">
      <alignment horizontal="center"/>
    </xf>
    <xf numFmtId="0" fontId="46" fillId="0" borderId="0" xfId="0" applyFont="1" applyFill="1" applyBorder="1" applyAlignment="1">
      <alignment/>
    </xf>
    <xf numFmtId="0" fontId="44" fillId="0" borderId="0" xfId="0" applyFont="1" applyFill="1" applyBorder="1" applyAlignment="1">
      <alignment/>
    </xf>
    <xf numFmtId="2" fontId="44" fillId="0" borderId="0" xfId="0" applyNumberFormat="1" applyFont="1" applyFill="1" applyBorder="1" applyAlignment="1">
      <alignment/>
    </xf>
    <xf numFmtId="0" fontId="47" fillId="0" borderId="0" xfId="0" applyFont="1" applyFill="1" applyBorder="1" applyAlignment="1">
      <alignment/>
    </xf>
    <xf numFmtId="0" fontId="0" fillId="0" borderId="0" xfId="0" applyFill="1" applyAlignment="1">
      <alignment/>
    </xf>
    <xf numFmtId="0" fontId="44" fillId="0" borderId="0" xfId="44" applyNumberFormat="1" applyFont="1" applyFill="1" applyBorder="1" applyAlignment="1">
      <alignment horizontal="right"/>
    </xf>
    <xf numFmtId="164" fontId="44" fillId="0" borderId="0" xfId="44" applyNumberFormat="1" applyFont="1" applyFill="1" applyBorder="1" applyAlignment="1">
      <alignment horizontal="right"/>
    </xf>
    <xf numFmtId="0" fontId="44" fillId="0" borderId="12" xfId="0" applyFont="1" applyBorder="1" applyAlignment="1">
      <alignment/>
    </xf>
    <xf numFmtId="0" fontId="0" fillId="0" borderId="12" xfId="0" applyBorder="1" applyAlignment="1">
      <alignment/>
    </xf>
    <xf numFmtId="0" fontId="0" fillId="0" borderId="12" xfId="0" applyFill="1" applyBorder="1" applyAlignment="1">
      <alignment/>
    </xf>
    <xf numFmtId="0" fontId="0" fillId="0" borderId="12" xfId="0" applyFont="1" applyFill="1" applyBorder="1" applyAlignment="1">
      <alignment/>
    </xf>
    <xf numFmtId="0" fontId="0" fillId="0" borderId="12" xfId="0" applyBorder="1" applyAlignment="1">
      <alignment wrapText="1"/>
    </xf>
    <xf numFmtId="0" fontId="0" fillId="0" borderId="12" xfId="0" applyFill="1" applyBorder="1" applyAlignment="1">
      <alignment wrapText="1"/>
    </xf>
    <xf numFmtId="0" fontId="0" fillId="0" borderId="12" xfId="0" applyFont="1" applyBorder="1" applyAlignment="1">
      <alignment/>
    </xf>
    <xf numFmtId="0" fontId="44" fillId="0" borderId="13" xfId="0" applyFont="1" applyFill="1" applyBorder="1" applyAlignment="1">
      <alignment/>
    </xf>
    <xf numFmtId="0" fontId="44" fillId="0" borderId="12" xfId="0" applyFont="1" applyFill="1" applyBorder="1" applyAlignment="1">
      <alignment/>
    </xf>
    <xf numFmtId="0" fontId="46" fillId="0" borderId="12" xfId="0" applyFont="1" applyBorder="1" applyAlignment="1">
      <alignment vertical="center"/>
    </xf>
    <xf numFmtId="0" fontId="46" fillId="0" borderId="13" xfId="0" applyFont="1" applyBorder="1" applyAlignment="1">
      <alignment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NumberFormat="1" applyFont="1" applyFill="1" applyBorder="1" applyAlignment="1">
      <alignment/>
    </xf>
    <xf numFmtId="4" fontId="0" fillId="0" borderId="0" xfId="0" applyNumberFormat="1" applyBorder="1" applyAlignment="1">
      <alignment/>
    </xf>
    <xf numFmtId="0" fontId="0" fillId="0" borderId="12" xfId="0" applyFont="1" applyFill="1" applyBorder="1" applyAlignment="1">
      <alignment horizontal="left" indent="2"/>
    </xf>
    <xf numFmtId="0" fontId="0" fillId="0" borderId="12" xfId="0" applyFont="1" applyBorder="1" applyAlignment="1">
      <alignment horizontal="left" indent="2"/>
    </xf>
    <xf numFmtId="4" fontId="0" fillId="0" borderId="10" xfId="0" applyNumberFormat="1" applyBorder="1" applyAlignment="1">
      <alignment/>
    </xf>
    <xf numFmtId="0" fontId="0" fillId="0" borderId="10" xfId="44" applyNumberFormat="1" applyFont="1" applyBorder="1" applyAlignment="1">
      <alignment horizontal="right"/>
    </xf>
    <xf numFmtId="4" fontId="0" fillId="0" borderId="10" xfId="44" applyNumberFormat="1" applyFont="1" applyBorder="1" applyAlignment="1">
      <alignment horizontal="right"/>
    </xf>
    <xf numFmtId="0" fontId="0" fillId="0" borderId="10" xfId="0" applyNumberFormat="1" applyFont="1" applyBorder="1" applyAlignment="1">
      <alignment/>
    </xf>
    <xf numFmtId="0" fontId="0" fillId="0" borderId="10" xfId="0" applyNumberFormat="1" applyBorder="1" applyAlignment="1">
      <alignment/>
    </xf>
    <xf numFmtId="4" fontId="0" fillId="0" borderId="20" xfId="0" applyNumberFormat="1" applyBorder="1" applyAlignment="1">
      <alignment/>
    </xf>
    <xf numFmtId="4" fontId="0" fillId="0" borderId="21" xfId="0" applyNumberFormat="1" applyBorder="1" applyAlignment="1">
      <alignment/>
    </xf>
    <xf numFmtId="4" fontId="0" fillId="0" borderId="20" xfId="0" applyNumberFormat="1" applyFill="1" applyBorder="1" applyAlignment="1">
      <alignment/>
    </xf>
    <xf numFmtId="4" fontId="0" fillId="0" borderId="20" xfId="44" applyNumberFormat="1" applyFont="1" applyBorder="1" applyAlignment="1">
      <alignment horizontal="right"/>
    </xf>
    <xf numFmtId="4" fontId="44" fillId="0" borderId="22" xfId="44" applyNumberFormat="1" applyFont="1" applyFill="1" applyBorder="1" applyAlignment="1">
      <alignment horizontal="right"/>
    </xf>
    <xf numFmtId="0" fontId="44" fillId="0" borderId="23" xfId="44" applyNumberFormat="1" applyFont="1" applyFill="1" applyBorder="1" applyAlignment="1">
      <alignment horizontal="right"/>
    </xf>
    <xf numFmtId="4" fontId="44" fillId="0" borderId="23" xfId="44" applyNumberFormat="1" applyFont="1" applyFill="1" applyBorder="1" applyAlignment="1">
      <alignment horizontal="right"/>
    </xf>
    <xf numFmtId="4" fontId="44" fillId="0" borderId="24" xfId="44" applyNumberFormat="1" applyFont="1" applyFill="1" applyBorder="1" applyAlignment="1">
      <alignment horizontal="right"/>
    </xf>
    <xf numFmtId="0" fontId="0" fillId="0" borderId="20" xfId="0" applyNumberFormat="1" applyBorder="1" applyAlignment="1">
      <alignment/>
    </xf>
    <xf numFmtId="0" fontId="0" fillId="0" borderId="25" xfId="0" applyNumberFormat="1" applyFont="1" applyFill="1" applyBorder="1" applyAlignment="1">
      <alignment/>
    </xf>
    <xf numFmtId="0" fontId="0" fillId="0" borderId="26" xfId="0" applyNumberFormat="1" applyFont="1" applyBorder="1" applyAlignment="1">
      <alignment/>
    </xf>
    <xf numFmtId="0" fontId="0" fillId="0" borderId="26" xfId="0" applyNumberFormat="1" applyFont="1" applyFill="1" applyBorder="1" applyAlignment="1">
      <alignment/>
    </xf>
    <xf numFmtId="4" fontId="0" fillId="0" borderId="25" xfId="0" applyNumberFormat="1" applyFont="1" applyFill="1" applyBorder="1" applyAlignment="1">
      <alignment/>
    </xf>
    <xf numFmtId="4" fontId="0" fillId="0" borderId="26" xfId="0" applyNumberFormat="1" applyFont="1" applyBorder="1" applyAlignment="1">
      <alignment/>
    </xf>
    <xf numFmtId="4" fontId="0" fillId="0" borderId="26" xfId="0" applyNumberFormat="1" applyFont="1" applyFill="1" applyBorder="1" applyAlignment="1">
      <alignment/>
    </xf>
    <xf numFmtId="4" fontId="0" fillId="0" borderId="19" xfId="0" applyNumberFormat="1" applyFont="1" applyFill="1" applyBorder="1" applyAlignment="1">
      <alignment/>
    </xf>
    <xf numFmtId="0" fontId="44" fillId="33" borderId="27" xfId="0" applyFont="1" applyFill="1" applyBorder="1" applyAlignment="1">
      <alignment/>
    </xf>
    <xf numFmtId="0" fontId="44" fillId="33" borderId="28" xfId="0" applyNumberFormat="1" applyFont="1" applyFill="1" applyBorder="1" applyAlignment="1">
      <alignment/>
    </xf>
    <xf numFmtId="0" fontId="44" fillId="33" borderId="29" xfId="0" applyFont="1" applyFill="1" applyBorder="1" applyAlignment="1">
      <alignment/>
    </xf>
    <xf numFmtId="164" fontId="44" fillId="33" borderId="29" xfId="0" applyNumberFormat="1" applyFont="1" applyFill="1" applyBorder="1" applyAlignment="1">
      <alignment/>
    </xf>
    <xf numFmtId="164" fontId="44" fillId="33" borderId="30" xfId="0" applyNumberFormat="1" applyFont="1" applyFill="1" applyBorder="1" applyAlignment="1">
      <alignment/>
    </xf>
    <xf numFmtId="0" fontId="0" fillId="33" borderId="28" xfId="0" applyNumberFormat="1" applyFill="1" applyBorder="1" applyAlignment="1">
      <alignment/>
    </xf>
    <xf numFmtId="164" fontId="0" fillId="33" borderId="11" xfId="44" applyNumberFormat="1" applyFont="1" applyFill="1" applyBorder="1" applyAlignment="1">
      <alignment horizontal="right"/>
    </xf>
    <xf numFmtId="164" fontId="44" fillId="33" borderId="11" xfId="0" applyNumberFormat="1" applyFont="1" applyFill="1" applyBorder="1" applyAlignment="1">
      <alignment/>
    </xf>
    <xf numFmtId="164" fontId="44" fillId="33" borderId="31" xfId="0" applyNumberFormat="1" applyFont="1" applyFill="1" applyBorder="1" applyAlignment="1">
      <alignment/>
    </xf>
    <xf numFmtId="9" fontId="44" fillId="0" borderId="18" xfId="0" applyNumberFormat="1" applyFont="1" applyFill="1" applyBorder="1" applyAlignment="1">
      <alignment horizontal="center"/>
    </xf>
    <xf numFmtId="0" fontId="48" fillId="0" borderId="0" xfId="0" applyFont="1" applyFill="1" applyBorder="1" applyAlignment="1">
      <alignment horizontal="center"/>
    </xf>
    <xf numFmtId="0" fontId="0" fillId="0" borderId="1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2" xfId="0" applyFont="1" applyFill="1" applyBorder="1" applyAlignment="1">
      <alignment/>
    </xf>
    <xf numFmtId="0" fontId="0" fillId="0" borderId="33" xfId="0" applyFont="1" applyFill="1" applyBorder="1" applyAlignment="1">
      <alignment/>
    </xf>
    <xf numFmtId="2" fontId="0" fillId="0" borderId="33" xfId="0" applyNumberFormat="1" applyFont="1" applyFill="1" applyBorder="1" applyAlignment="1">
      <alignment/>
    </xf>
    <xf numFmtId="0" fontId="0" fillId="0" borderId="33" xfId="0" applyFill="1" applyBorder="1" applyAlignment="1">
      <alignment/>
    </xf>
    <xf numFmtId="0" fontId="0" fillId="0" borderId="34" xfId="0" applyFill="1" applyBorder="1" applyAlignment="1">
      <alignment/>
    </xf>
    <xf numFmtId="2" fontId="46" fillId="0" borderId="10" xfId="0" applyNumberFormat="1" applyFont="1" applyFill="1" applyBorder="1" applyAlignment="1">
      <alignment/>
    </xf>
    <xf numFmtId="0" fontId="0" fillId="0" borderId="10" xfId="0" applyFill="1" applyBorder="1" applyAlignment="1">
      <alignment/>
    </xf>
    <xf numFmtId="2" fontId="0" fillId="0" borderId="10" xfId="0" applyNumberFormat="1" applyFont="1" applyFill="1" applyBorder="1" applyAlignment="1">
      <alignment/>
    </xf>
    <xf numFmtId="0" fontId="46" fillId="0" borderId="28" xfId="0" applyFont="1" applyFill="1" applyBorder="1" applyAlignment="1">
      <alignment/>
    </xf>
    <xf numFmtId="0" fontId="46" fillId="0" borderId="31" xfId="0" applyFont="1" applyFill="1" applyBorder="1" applyAlignment="1">
      <alignment/>
    </xf>
    <xf numFmtId="0" fontId="46" fillId="0" borderId="20" xfId="0" applyFont="1" applyFill="1" applyBorder="1" applyAlignment="1">
      <alignment/>
    </xf>
    <xf numFmtId="0" fontId="0" fillId="0" borderId="21" xfId="0" applyFill="1" applyBorder="1" applyAlignment="1">
      <alignment/>
    </xf>
    <xf numFmtId="0" fontId="0" fillId="0" borderId="20" xfId="0" applyFont="1" applyFill="1" applyBorder="1" applyAlignment="1">
      <alignment/>
    </xf>
    <xf numFmtId="0" fontId="44" fillId="0" borderId="22" xfId="0" applyFont="1" applyFill="1" applyBorder="1" applyAlignment="1">
      <alignment/>
    </xf>
    <xf numFmtId="0" fontId="0" fillId="0" borderId="23" xfId="0" applyFont="1" applyFill="1" applyBorder="1" applyAlignment="1">
      <alignment/>
    </xf>
    <xf numFmtId="2" fontId="0" fillId="0" borderId="23" xfId="0" applyNumberFormat="1" applyFont="1" applyFill="1" applyBorder="1" applyAlignment="1">
      <alignment/>
    </xf>
    <xf numFmtId="2" fontId="44" fillId="0" borderId="23" xfId="0" applyNumberFormat="1"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1" xfId="0" applyFont="1" applyFill="1" applyBorder="1" applyAlignment="1">
      <alignment/>
    </xf>
    <xf numFmtId="2" fontId="0" fillId="0" borderId="11" xfId="0" applyNumberFormat="1" applyFont="1" applyFill="1" applyBorder="1" applyAlignment="1">
      <alignment/>
    </xf>
    <xf numFmtId="0" fontId="0" fillId="0" borderId="11" xfId="0" applyFill="1" applyBorder="1" applyAlignment="1">
      <alignment/>
    </xf>
    <xf numFmtId="0" fontId="0" fillId="0" borderId="31" xfId="0" applyFill="1" applyBorder="1" applyAlignment="1">
      <alignment/>
    </xf>
    <xf numFmtId="0" fontId="44" fillId="0" borderId="28" xfId="0" applyFont="1" applyFill="1" applyBorder="1" applyAlignment="1">
      <alignment/>
    </xf>
    <xf numFmtId="0" fontId="44" fillId="0" borderId="23" xfId="0" applyFont="1" applyFill="1" applyBorder="1" applyAlignment="1">
      <alignment/>
    </xf>
    <xf numFmtId="0" fontId="0" fillId="0" borderId="10" xfId="44" applyNumberFormat="1" applyFont="1" applyBorder="1" applyAlignment="1">
      <alignment horizontal="left"/>
    </xf>
    <xf numFmtId="0" fontId="0" fillId="0" borderId="10" xfId="0" applyNumberFormat="1" applyFont="1" applyBorder="1" applyAlignment="1">
      <alignment horizontal="left"/>
    </xf>
    <xf numFmtId="4" fontId="0" fillId="0" borderId="0" xfId="0" applyNumberFormat="1" applyFont="1" applyFill="1" applyBorder="1" applyAlignment="1">
      <alignment horizontal="center" vertical="center" wrapText="1"/>
    </xf>
    <xf numFmtId="0" fontId="44" fillId="0" borderId="35" xfId="0" applyFont="1" applyBorder="1" applyAlignment="1">
      <alignment/>
    </xf>
    <xf numFmtId="0" fontId="44" fillId="0" borderId="36" xfId="0" applyFont="1" applyBorder="1" applyAlignment="1">
      <alignment/>
    </xf>
    <xf numFmtId="0" fontId="44" fillId="0" borderId="37" xfId="0" applyFont="1" applyBorder="1" applyAlignment="1">
      <alignment/>
    </xf>
    <xf numFmtId="0" fontId="46" fillId="34" borderId="32" xfId="0" applyFont="1" applyFill="1" applyBorder="1" applyAlignment="1">
      <alignment vertical="center"/>
    </xf>
    <xf numFmtId="0" fontId="44" fillId="34" borderId="32" xfId="0" applyNumberFormat="1" applyFont="1" applyFill="1" applyBorder="1" applyAlignment="1">
      <alignment/>
    </xf>
    <xf numFmtId="0" fontId="44" fillId="34" borderId="33" xfId="0" applyNumberFormat="1" applyFont="1" applyFill="1" applyBorder="1" applyAlignment="1">
      <alignment/>
    </xf>
    <xf numFmtId="4" fontId="44" fillId="34" borderId="38" xfId="0" applyNumberFormat="1" applyFont="1" applyFill="1" applyBorder="1" applyAlignment="1">
      <alignment/>
    </xf>
    <xf numFmtId="0" fontId="0" fillId="33" borderId="39" xfId="0" applyNumberFormat="1" applyFill="1" applyBorder="1" applyAlignment="1">
      <alignment/>
    </xf>
    <xf numFmtId="0" fontId="0" fillId="33" borderId="39" xfId="0" applyFill="1" applyBorder="1" applyAlignment="1">
      <alignment/>
    </xf>
    <xf numFmtId="0" fontId="44" fillId="0" borderId="10" xfId="0" applyNumberFormat="1" applyFont="1" applyBorder="1" applyAlignment="1">
      <alignment/>
    </xf>
    <xf numFmtId="4" fontId="44" fillId="0" borderId="10" xfId="0" applyNumberFormat="1" applyFont="1" applyBorder="1" applyAlignment="1">
      <alignment/>
    </xf>
    <xf numFmtId="4" fontId="44" fillId="0" borderId="21" xfId="0" applyNumberFormat="1" applyFont="1" applyBorder="1" applyAlignment="1">
      <alignment/>
    </xf>
    <xf numFmtId="0" fontId="0" fillId="0" borderId="23" xfId="0" applyNumberFormat="1" applyBorder="1" applyAlignment="1">
      <alignment/>
    </xf>
    <xf numFmtId="4" fontId="44" fillId="0" borderId="23" xfId="0" applyNumberFormat="1" applyFont="1" applyBorder="1" applyAlignment="1">
      <alignment/>
    </xf>
    <xf numFmtId="4" fontId="44" fillId="0" borderId="24" xfId="0" applyNumberFormat="1" applyFont="1" applyBorder="1" applyAlignment="1">
      <alignment/>
    </xf>
    <xf numFmtId="0" fontId="0" fillId="0" borderId="40" xfId="0" applyNumberFormat="1" applyBorder="1" applyAlignment="1">
      <alignment/>
    </xf>
    <xf numFmtId="0" fontId="0" fillId="0" borderId="41" xfId="0" applyNumberFormat="1" applyFont="1" applyBorder="1" applyAlignment="1">
      <alignment/>
    </xf>
    <xf numFmtId="0" fontId="0" fillId="0" borderId="41" xfId="0" applyNumberFormat="1" applyBorder="1" applyAlignment="1">
      <alignment/>
    </xf>
    <xf numFmtId="4" fontId="0" fillId="0" borderId="41" xfId="0" applyNumberFormat="1" applyBorder="1" applyAlignment="1">
      <alignment/>
    </xf>
    <xf numFmtId="4" fontId="0" fillId="0" borderId="42" xfId="0" applyNumberFormat="1" applyBorder="1" applyAlignment="1">
      <alignment/>
    </xf>
    <xf numFmtId="0" fontId="44" fillId="34" borderId="32" xfId="0" applyFont="1" applyFill="1" applyBorder="1" applyAlignment="1">
      <alignment/>
    </xf>
    <xf numFmtId="0" fontId="44" fillId="34" borderId="43" xfId="44" applyNumberFormat="1" applyFont="1" applyFill="1" applyBorder="1" applyAlignment="1">
      <alignment horizontal="right"/>
    </xf>
    <xf numFmtId="0" fontId="44" fillId="34" borderId="38" xfId="44" applyNumberFormat="1" applyFont="1" applyFill="1" applyBorder="1" applyAlignment="1">
      <alignment horizontal="right"/>
    </xf>
    <xf numFmtId="4" fontId="44" fillId="34" borderId="38" xfId="44" applyNumberFormat="1" applyFont="1" applyFill="1" applyBorder="1" applyAlignment="1">
      <alignment horizontal="right"/>
    </xf>
    <xf numFmtId="4" fontId="44" fillId="34" borderId="44" xfId="44" applyNumberFormat="1" applyFont="1" applyFill="1" applyBorder="1" applyAlignment="1">
      <alignment horizontal="right"/>
    </xf>
    <xf numFmtId="0" fontId="44" fillId="0" borderId="45" xfId="0" applyNumberFormat="1" applyFont="1" applyBorder="1" applyAlignment="1">
      <alignment/>
    </xf>
    <xf numFmtId="4" fontId="44" fillId="0" borderId="45" xfId="0" applyNumberFormat="1" applyFont="1" applyBorder="1" applyAlignment="1">
      <alignment/>
    </xf>
    <xf numFmtId="4" fontId="44" fillId="0" borderId="46" xfId="0" applyNumberFormat="1" applyFont="1" applyBorder="1" applyAlignment="1">
      <alignment/>
    </xf>
    <xf numFmtId="0" fontId="44" fillId="0" borderId="47" xfId="0" applyFont="1" applyFill="1" applyBorder="1" applyAlignment="1">
      <alignment/>
    </xf>
    <xf numFmtId="0" fontId="0" fillId="0" borderId="48" xfId="0" applyNumberFormat="1" applyFill="1" applyBorder="1" applyAlignment="1">
      <alignment/>
    </xf>
    <xf numFmtId="0" fontId="0" fillId="0" borderId="48" xfId="0" applyFill="1" applyBorder="1" applyAlignment="1">
      <alignment/>
    </xf>
    <xf numFmtId="164" fontId="44" fillId="0" borderId="48" xfId="0" applyNumberFormat="1" applyFont="1" applyFill="1" applyBorder="1" applyAlignment="1">
      <alignment/>
    </xf>
    <xf numFmtId="164" fontId="44" fillId="0" borderId="49" xfId="0" applyNumberFormat="1" applyFont="1" applyFill="1" applyBorder="1" applyAlignment="1">
      <alignment/>
    </xf>
    <xf numFmtId="0" fontId="49" fillId="0" borderId="0" xfId="0" applyFont="1" applyAlignment="1">
      <alignment horizontal="left" vertical="center"/>
    </xf>
    <xf numFmtId="0" fontId="0" fillId="0" borderId="0" xfId="0" applyAlignment="1">
      <alignment wrapText="1"/>
    </xf>
    <xf numFmtId="0" fontId="47" fillId="33" borderId="32" xfId="0" applyFont="1" applyFill="1" applyBorder="1" applyAlignment="1">
      <alignment horizontal="center"/>
    </xf>
    <xf numFmtId="0" fontId="47" fillId="33" borderId="33" xfId="0" applyFont="1" applyFill="1" applyBorder="1" applyAlignment="1">
      <alignment horizontal="center"/>
    </xf>
    <xf numFmtId="0" fontId="47" fillId="33" borderId="34" xfId="0" applyFont="1" applyFill="1" applyBorder="1" applyAlignment="1">
      <alignment horizontal="center"/>
    </xf>
    <xf numFmtId="0" fontId="0" fillId="33" borderId="32" xfId="0" applyFont="1" applyFill="1" applyBorder="1" applyAlignment="1">
      <alignment horizontal="center" wrapText="1"/>
    </xf>
    <xf numFmtId="0" fontId="0" fillId="33" borderId="33" xfId="0" applyFont="1" applyFill="1" applyBorder="1" applyAlignment="1">
      <alignment horizontal="center"/>
    </xf>
    <xf numFmtId="0" fontId="0" fillId="33" borderId="34" xfId="0" applyFont="1" applyFill="1" applyBorder="1" applyAlignment="1">
      <alignment horizontal="center"/>
    </xf>
    <xf numFmtId="0" fontId="48" fillId="33" borderId="32" xfId="0" applyFont="1" applyFill="1" applyBorder="1" applyAlignment="1">
      <alignment horizontal="center"/>
    </xf>
    <xf numFmtId="0" fontId="48" fillId="33" borderId="33" xfId="0" applyFont="1" applyFill="1" applyBorder="1" applyAlignment="1">
      <alignment horizontal="center"/>
    </xf>
    <xf numFmtId="0" fontId="48" fillId="33" borderId="34" xfId="0" applyFont="1" applyFill="1" applyBorder="1" applyAlignment="1">
      <alignment horizontal="center"/>
    </xf>
    <xf numFmtId="0" fontId="0" fillId="33" borderId="13"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164" fontId="44" fillId="0" borderId="18" xfId="44" applyNumberFormat="1" applyFont="1" applyBorder="1" applyAlignment="1">
      <alignment horizontal="center"/>
    </xf>
    <xf numFmtId="0" fontId="44" fillId="0" borderId="18"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6600825</xdr:colOff>
      <xdr:row>54</xdr:row>
      <xdr:rowOff>152400</xdr:rowOff>
    </xdr:from>
    <xdr:to>
      <xdr:col>1</xdr:col>
      <xdr:colOff>542925</xdr:colOff>
      <xdr:row>57</xdr:row>
      <xdr:rowOff>95250</xdr:rowOff>
    </xdr:to>
    <xdr:pic>
      <xdr:nvPicPr>
        <xdr:cNvPr id="1" name="Picture 2"/>
        <xdr:cNvPicPr preferRelativeResize="1">
          <a:picLocks noChangeAspect="1"/>
        </xdr:cNvPicPr>
      </xdr:nvPicPr>
      <xdr:blipFill>
        <a:blip r:embed="rId1"/>
        <a:stretch>
          <a:fillRect/>
        </a:stretch>
      </xdr:blipFill>
      <xdr:spPr>
        <a:xfrm>
          <a:off x="6600825" y="11401425"/>
          <a:ext cx="1419225" cy="514350"/>
        </a:xfrm>
        <a:prstGeom prst="rect">
          <a:avLst/>
        </a:prstGeom>
        <a:noFill/>
        <a:ln w="9525" cmpd="sng">
          <a:noFill/>
        </a:ln>
      </xdr:spPr>
    </xdr:pic>
    <xdr:clientData/>
  </xdr:twoCellAnchor>
  <xdr:twoCellAnchor editAs="oneCell">
    <xdr:from>
      <xdr:col>0</xdr:col>
      <xdr:colOff>0</xdr:colOff>
      <xdr:row>14</xdr:row>
      <xdr:rowOff>85725</xdr:rowOff>
    </xdr:from>
    <xdr:to>
      <xdr:col>0</xdr:col>
      <xdr:colOff>7400925</xdr:colOff>
      <xdr:row>45</xdr:row>
      <xdr:rowOff>38100</xdr:rowOff>
    </xdr:to>
    <xdr:pic>
      <xdr:nvPicPr>
        <xdr:cNvPr id="2" name="Picture 3"/>
        <xdr:cNvPicPr preferRelativeResize="1">
          <a:picLocks noChangeAspect="1"/>
        </xdr:cNvPicPr>
      </xdr:nvPicPr>
      <xdr:blipFill>
        <a:blip r:embed="rId2"/>
        <a:stretch>
          <a:fillRect/>
        </a:stretch>
      </xdr:blipFill>
      <xdr:spPr>
        <a:xfrm>
          <a:off x="0" y="2752725"/>
          <a:ext cx="7400925" cy="5857875"/>
        </a:xfrm>
        <a:prstGeom prst="rect">
          <a:avLst/>
        </a:prstGeom>
        <a:noFill/>
        <a:ln w="9525" cmpd="sng">
          <a:noFill/>
        </a:ln>
      </xdr:spPr>
    </xdr:pic>
    <xdr:clientData/>
  </xdr:twoCellAnchor>
  <xdr:twoCellAnchor editAs="oneCell">
    <xdr:from>
      <xdr:col>0</xdr:col>
      <xdr:colOff>0</xdr:colOff>
      <xdr:row>0</xdr:row>
      <xdr:rowOff>0</xdr:rowOff>
    </xdr:from>
    <xdr:to>
      <xdr:col>0</xdr:col>
      <xdr:colOff>7305675</xdr:colOff>
      <xdr:row>14</xdr:row>
      <xdr:rowOff>85725</xdr:rowOff>
    </xdr:to>
    <xdr:pic>
      <xdr:nvPicPr>
        <xdr:cNvPr id="3" name="Picture 1"/>
        <xdr:cNvPicPr preferRelativeResize="1">
          <a:picLocks noChangeAspect="1"/>
        </xdr:cNvPicPr>
      </xdr:nvPicPr>
      <xdr:blipFill>
        <a:blip r:embed="rId3"/>
        <a:stretch>
          <a:fillRect/>
        </a:stretch>
      </xdr:blipFill>
      <xdr:spPr>
        <a:xfrm>
          <a:off x="0" y="0"/>
          <a:ext cx="7305675" cy="2752725"/>
        </a:xfrm>
        <a:prstGeom prst="rect">
          <a:avLst/>
        </a:prstGeom>
        <a:noFill/>
        <a:ln w="9525" cmpd="sng">
          <a:noFill/>
        </a:ln>
      </xdr:spPr>
    </xdr:pic>
    <xdr:clientData/>
  </xdr:twoCellAnchor>
  <xdr:twoCellAnchor>
    <xdr:from>
      <xdr:col>0</xdr:col>
      <xdr:colOff>4381500</xdr:colOff>
      <xdr:row>8</xdr:row>
      <xdr:rowOff>104775</xdr:rowOff>
    </xdr:from>
    <xdr:to>
      <xdr:col>0</xdr:col>
      <xdr:colOff>7219950</xdr:colOff>
      <xdr:row>13</xdr:row>
      <xdr:rowOff>190500</xdr:rowOff>
    </xdr:to>
    <xdr:sp>
      <xdr:nvSpPr>
        <xdr:cNvPr id="4" name="TextBox 2"/>
        <xdr:cNvSpPr txBox="1">
          <a:spLocks noChangeArrowheads="1"/>
        </xdr:cNvSpPr>
      </xdr:nvSpPr>
      <xdr:spPr>
        <a:xfrm>
          <a:off x="4381500" y="1628775"/>
          <a:ext cx="2838450" cy="1038225"/>
        </a:xfrm>
        <a:prstGeom prst="rect">
          <a:avLst/>
        </a:prstGeom>
        <a:solidFill>
          <a:srgbClr val="FFFFFF"/>
        </a:solidFill>
        <a:ln w="9525" cmpd="sng">
          <a:noFill/>
        </a:ln>
      </xdr:spPr>
      <xdr:txBody>
        <a:bodyPr vertOverflow="clip" wrap="square"/>
        <a:p>
          <a:pPr algn="r">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February 2015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kpu.ca/isfs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49:A57"/>
  <sheetViews>
    <sheetView showGridLines="0" tabSelected="1" zoomScalePageLayoutView="0" workbookViewId="0" topLeftCell="A34">
      <selection activeCell="A54" sqref="A54"/>
    </sheetView>
  </sheetViews>
  <sheetFormatPr defaultColWidth="9.140625" defaultRowHeight="15"/>
  <cols>
    <col min="1" max="1" width="112.140625" style="0" customWidth="1"/>
  </cols>
  <sheetData>
    <row r="49" ht="15.75">
      <c r="A49" s="144" t="s">
        <v>116</v>
      </c>
    </row>
    <row r="51" ht="90">
      <c r="A51" s="145" t="s">
        <v>119</v>
      </c>
    </row>
    <row r="56" ht="15">
      <c r="A56" t="s">
        <v>117</v>
      </c>
    </row>
    <row r="57" ht="15">
      <c r="A57" t="s">
        <v>118</v>
      </c>
    </row>
  </sheetData>
  <sheetProtection password="EB59" sheet="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Q52"/>
  <sheetViews>
    <sheetView zoomScale="70" zoomScaleNormal="70" zoomScalePageLayoutView="0" workbookViewId="0" topLeftCell="A1">
      <selection activeCell="E29" sqref="E29"/>
    </sheetView>
  </sheetViews>
  <sheetFormatPr defaultColWidth="9.140625" defaultRowHeight="15"/>
  <cols>
    <col min="2" max="2" width="42.421875" style="0" bestFit="1" customWidth="1"/>
    <col min="3" max="3" width="15.28125" style="0" bestFit="1" customWidth="1"/>
    <col min="4" max="4" width="16.8515625" style="0" bestFit="1" customWidth="1"/>
    <col min="5" max="5" width="16.7109375" style="0" bestFit="1" customWidth="1"/>
    <col min="6" max="6" width="17.00390625" style="0" bestFit="1" customWidth="1"/>
    <col min="7" max="7" width="15.421875" style="0" bestFit="1" customWidth="1"/>
    <col min="8" max="8" width="17.7109375" style="0" bestFit="1" customWidth="1"/>
    <col min="9" max="9" width="14.57421875" style="0" bestFit="1" customWidth="1"/>
    <col min="10" max="10" width="19.57421875" style="0" bestFit="1" customWidth="1"/>
    <col min="11" max="11" width="18.140625" style="0" bestFit="1" customWidth="1"/>
    <col min="12" max="12" width="12.421875" style="0" bestFit="1" customWidth="1"/>
    <col min="13" max="14" width="10.140625" style="0" bestFit="1" customWidth="1"/>
    <col min="15" max="15" width="6.57421875" style="0" bestFit="1" customWidth="1"/>
  </cols>
  <sheetData>
    <row r="1" spans="2:17" ht="19.5" thickBot="1">
      <c r="B1" s="146" t="s">
        <v>44</v>
      </c>
      <c r="C1" s="147"/>
      <c r="D1" s="147"/>
      <c r="E1" s="147"/>
      <c r="F1" s="147"/>
      <c r="G1" s="147"/>
      <c r="H1" s="147"/>
      <c r="I1" s="147"/>
      <c r="J1" s="147"/>
      <c r="K1" s="147"/>
      <c r="L1" s="148"/>
      <c r="M1" s="21"/>
      <c r="N1" s="21"/>
      <c r="O1" s="21"/>
      <c r="P1" s="22"/>
      <c r="Q1" s="22"/>
    </row>
    <row r="2" spans="2:12" ht="79.5" customHeight="1" thickBot="1">
      <c r="B2" s="149" t="s">
        <v>43</v>
      </c>
      <c r="C2" s="150"/>
      <c r="D2" s="150"/>
      <c r="E2" s="150"/>
      <c r="F2" s="150"/>
      <c r="G2" s="150"/>
      <c r="H2" s="150"/>
      <c r="I2" s="150"/>
      <c r="J2" s="150"/>
      <c r="K2" s="150"/>
      <c r="L2" s="151"/>
    </row>
    <row r="3" spans="2:12" ht="19.5" thickBot="1">
      <c r="B3" s="152" t="s">
        <v>67</v>
      </c>
      <c r="C3" s="153"/>
      <c r="D3" s="153"/>
      <c r="E3" s="153"/>
      <c r="F3" s="153"/>
      <c r="G3" s="153"/>
      <c r="H3" s="153"/>
      <c r="I3" s="153"/>
      <c r="J3" s="153"/>
      <c r="K3" s="153"/>
      <c r="L3" s="154"/>
    </row>
    <row r="4" spans="2:12" s="14" customFormat="1" ht="19.5" thickBot="1">
      <c r="B4" s="79"/>
      <c r="C4" s="79"/>
      <c r="D4" s="79"/>
      <c r="E4" s="79"/>
      <c r="F4" s="79"/>
      <c r="G4" s="79"/>
      <c r="H4" s="79"/>
      <c r="I4" s="79"/>
      <c r="J4" s="79"/>
      <c r="K4" s="79"/>
      <c r="L4" s="79"/>
    </row>
    <row r="5" spans="2:12" ht="15">
      <c r="B5" s="80" t="s">
        <v>55</v>
      </c>
      <c r="C5" s="37">
        <v>7.5</v>
      </c>
      <c r="D5" s="38" t="s">
        <v>0</v>
      </c>
      <c r="E5" s="17"/>
      <c r="F5" s="17"/>
      <c r="G5" s="17"/>
      <c r="H5" s="17"/>
      <c r="I5" s="17"/>
      <c r="J5" s="17"/>
      <c r="K5" s="17"/>
      <c r="L5" s="17"/>
    </row>
    <row r="6" spans="2:12" ht="15">
      <c r="B6" s="81" t="s">
        <v>63</v>
      </c>
      <c r="C6" s="16">
        <v>0.5</v>
      </c>
      <c r="D6" s="40" t="s">
        <v>56</v>
      </c>
      <c r="E6" s="17"/>
      <c r="F6" s="17"/>
      <c r="G6" s="17"/>
      <c r="H6" s="17"/>
      <c r="I6" s="17"/>
      <c r="J6" s="17"/>
      <c r="K6" s="17"/>
      <c r="L6" s="17"/>
    </row>
    <row r="7" spans="2:12" ht="15">
      <c r="B7" s="81" t="s">
        <v>64</v>
      </c>
      <c r="C7" s="110">
        <f>C6*43560</f>
        <v>21780</v>
      </c>
      <c r="D7" s="40" t="s">
        <v>57</v>
      </c>
      <c r="E7" s="17"/>
      <c r="F7" s="17"/>
      <c r="G7" s="17"/>
      <c r="H7" s="17"/>
      <c r="I7" s="17"/>
      <c r="J7" s="17"/>
      <c r="K7" s="17"/>
      <c r="L7" s="17"/>
    </row>
    <row r="8" spans="2:12" ht="15">
      <c r="B8" s="81" t="s">
        <v>58</v>
      </c>
      <c r="C8" s="16">
        <v>400</v>
      </c>
      <c r="D8" s="40" t="s">
        <v>57</v>
      </c>
      <c r="E8" s="17"/>
      <c r="F8" s="17"/>
      <c r="G8" s="17"/>
      <c r="H8" s="17"/>
      <c r="I8" s="17"/>
      <c r="J8" s="17"/>
      <c r="K8" s="17"/>
      <c r="L8" s="17"/>
    </row>
    <row r="9" spans="2:12" ht="15">
      <c r="B9" s="81" t="s">
        <v>59</v>
      </c>
      <c r="C9" s="16">
        <f>ROUND(C7/C8,0)</f>
        <v>54</v>
      </c>
      <c r="D9" s="40" t="s">
        <v>60</v>
      </c>
      <c r="E9" s="17"/>
      <c r="F9" s="17"/>
      <c r="G9" s="17"/>
      <c r="H9" s="17"/>
      <c r="I9" s="17"/>
      <c r="J9" s="17"/>
      <c r="K9" s="17"/>
      <c r="L9" s="17"/>
    </row>
    <row r="10" spans="2:12" ht="15.75" thickBot="1">
      <c r="B10" s="82" t="s">
        <v>61</v>
      </c>
      <c r="C10" s="78">
        <v>0.05</v>
      </c>
      <c r="D10" s="43"/>
      <c r="E10" s="17"/>
      <c r="F10" s="17"/>
      <c r="G10" s="17"/>
      <c r="H10" s="17"/>
      <c r="I10" s="17"/>
      <c r="J10" s="17"/>
      <c r="K10" s="17"/>
      <c r="L10" s="17"/>
    </row>
    <row r="11" spans="2:12" ht="15.75" thickBot="1">
      <c r="B11" s="18"/>
      <c r="C11" s="1"/>
      <c r="D11" s="2"/>
      <c r="E11" s="2"/>
      <c r="F11" s="2"/>
      <c r="G11" s="2"/>
      <c r="H11" s="2"/>
      <c r="I11" s="2"/>
      <c r="J11" s="1"/>
      <c r="K11" s="8"/>
      <c r="L11" s="14"/>
    </row>
    <row r="12" spans="2:12" ht="15">
      <c r="B12" s="91" t="s">
        <v>84</v>
      </c>
      <c r="C12" s="11" t="s">
        <v>1</v>
      </c>
      <c r="D12" s="12" t="s">
        <v>95</v>
      </c>
      <c r="E12" s="12" t="s">
        <v>94</v>
      </c>
      <c r="F12" s="11" t="s">
        <v>93</v>
      </c>
      <c r="G12" s="11" t="s">
        <v>89</v>
      </c>
      <c r="H12" s="11" t="s">
        <v>96</v>
      </c>
      <c r="I12" s="11" t="s">
        <v>90</v>
      </c>
      <c r="J12" s="11" t="s">
        <v>97</v>
      </c>
      <c r="K12" s="11" t="s">
        <v>91</v>
      </c>
      <c r="L12" s="92" t="s">
        <v>92</v>
      </c>
    </row>
    <row r="13" spans="2:12" ht="15">
      <c r="B13" s="93" t="s">
        <v>2</v>
      </c>
      <c r="C13" s="9"/>
      <c r="D13" s="88"/>
      <c r="E13" s="88"/>
      <c r="F13" s="9"/>
      <c r="G13" s="9"/>
      <c r="H13" s="9"/>
      <c r="I13" s="9"/>
      <c r="J13" s="89"/>
      <c r="K13" s="89"/>
      <c r="L13" s="94"/>
    </row>
    <row r="14" spans="2:12" ht="15">
      <c r="B14" s="95" t="s">
        <v>77</v>
      </c>
      <c r="C14" s="10" t="s">
        <v>73</v>
      </c>
      <c r="D14" s="90">
        <v>13000</v>
      </c>
      <c r="E14" s="90">
        <v>3000</v>
      </c>
      <c r="F14" s="10">
        <v>40</v>
      </c>
      <c r="G14" s="90">
        <f>((D14-E14)/F14)</f>
        <v>250</v>
      </c>
      <c r="H14" s="90">
        <f>((D14+E14)/2)*$C$10</f>
        <v>400</v>
      </c>
      <c r="I14" s="90">
        <f>SUM(G14:H14)</f>
        <v>650</v>
      </c>
      <c r="J14" s="90">
        <f>$I14*($C$6/$C$5)</f>
        <v>43.333333333333336</v>
      </c>
      <c r="K14" s="89">
        <v>500</v>
      </c>
      <c r="L14" s="94"/>
    </row>
    <row r="15" spans="2:12" ht="15">
      <c r="B15" s="95" t="s">
        <v>76</v>
      </c>
      <c r="C15" s="10" t="s">
        <v>74</v>
      </c>
      <c r="D15" s="90">
        <v>2000</v>
      </c>
      <c r="E15" s="90">
        <v>500</v>
      </c>
      <c r="F15" s="10">
        <v>40</v>
      </c>
      <c r="G15" s="90">
        <f>((D15-E15)/F15)</f>
        <v>37.5</v>
      </c>
      <c r="H15" s="90">
        <f>((D15+E15)/2)*$C$10</f>
        <v>62.5</v>
      </c>
      <c r="I15" s="90">
        <f>SUM(G15:H15)</f>
        <v>100</v>
      </c>
      <c r="J15" s="90">
        <f>$I15*($C$6/$C$5)</f>
        <v>6.666666666666667</v>
      </c>
      <c r="K15" s="89">
        <v>60</v>
      </c>
      <c r="L15" s="94"/>
    </row>
    <row r="16" spans="2:12" ht="15">
      <c r="B16" s="95" t="s">
        <v>15</v>
      </c>
      <c r="C16" s="10" t="s">
        <v>16</v>
      </c>
      <c r="D16" s="90">
        <v>6400</v>
      </c>
      <c r="E16" s="90">
        <v>500</v>
      </c>
      <c r="F16" s="10">
        <v>20</v>
      </c>
      <c r="G16" s="90">
        <f>((D16-E16)/F16)</f>
        <v>295</v>
      </c>
      <c r="H16" s="90">
        <f>((D16+E16)/2)*$C$10</f>
        <v>172.5</v>
      </c>
      <c r="I16" s="90">
        <f>SUM(G16:H16)</f>
        <v>467.5</v>
      </c>
      <c r="J16" s="90">
        <f>$I16*($C$6/$C$5)</f>
        <v>31.166666666666668</v>
      </c>
      <c r="K16" s="89">
        <v>60</v>
      </c>
      <c r="L16" s="94"/>
    </row>
    <row r="17" spans="2:12" ht="15">
      <c r="B17" s="95" t="s">
        <v>68</v>
      </c>
      <c r="C17" s="10" t="s">
        <v>17</v>
      </c>
      <c r="D17" s="90">
        <v>500</v>
      </c>
      <c r="E17" s="90">
        <v>250</v>
      </c>
      <c r="F17" s="10">
        <v>20</v>
      </c>
      <c r="G17" s="90">
        <f>((D17-E17)/F17)</f>
        <v>12.5</v>
      </c>
      <c r="H17" s="90">
        <f>((D17+E17)/2)*$C$10</f>
        <v>18.75</v>
      </c>
      <c r="I17" s="90">
        <f>SUM(G17:H17)</f>
        <v>31.25</v>
      </c>
      <c r="J17" s="90">
        <f>$I17*($C$6/$C$5)</f>
        <v>2.0833333333333335</v>
      </c>
      <c r="K17" s="89">
        <v>10</v>
      </c>
      <c r="L17" s="94"/>
    </row>
    <row r="18" spans="2:12" ht="15">
      <c r="B18" s="95" t="s">
        <v>69</v>
      </c>
      <c r="C18" s="10" t="s">
        <v>75</v>
      </c>
      <c r="D18" s="90">
        <v>24000</v>
      </c>
      <c r="E18" s="90">
        <v>5000</v>
      </c>
      <c r="F18" s="10">
        <v>10</v>
      </c>
      <c r="G18" s="90">
        <f>((D18-E18)/F18)</f>
        <v>1900</v>
      </c>
      <c r="H18" s="90">
        <f>((D18+E18)/2)*$C$10</f>
        <v>725</v>
      </c>
      <c r="I18" s="90">
        <f>SUM(G18:H18)</f>
        <v>2625</v>
      </c>
      <c r="J18" s="90">
        <f>$I18*($C$6/$C$5)</f>
        <v>175</v>
      </c>
      <c r="K18" s="89">
        <v>2000</v>
      </c>
      <c r="L18" s="94">
        <v>1200</v>
      </c>
    </row>
    <row r="19" spans="2:12" ht="15.75" thickBot="1">
      <c r="B19" s="96" t="s">
        <v>3</v>
      </c>
      <c r="C19" s="97"/>
      <c r="D19" s="98"/>
      <c r="E19" s="98"/>
      <c r="F19" s="97"/>
      <c r="G19" s="98"/>
      <c r="H19" s="98"/>
      <c r="I19" s="99">
        <f>SUM(I14:I18)</f>
        <v>3873.75</v>
      </c>
      <c r="J19" s="99">
        <f>SUM(J14:J18)</f>
        <v>258.25</v>
      </c>
      <c r="K19" s="100"/>
      <c r="L19" s="101"/>
    </row>
    <row r="20" spans="2:12" ht="15.75" thickBot="1">
      <c r="B20" s="1"/>
      <c r="C20" s="1"/>
      <c r="D20" s="2"/>
      <c r="E20" s="2"/>
      <c r="F20" s="1"/>
      <c r="G20" s="2"/>
      <c r="H20" s="2"/>
      <c r="I20" s="2"/>
      <c r="J20" s="2"/>
      <c r="K20" s="14"/>
      <c r="L20" s="14"/>
    </row>
    <row r="21" spans="2:12" ht="15">
      <c r="B21" s="91" t="s">
        <v>4</v>
      </c>
      <c r="C21" s="102"/>
      <c r="D21" s="103"/>
      <c r="E21" s="103"/>
      <c r="F21" s="102"/>
      <c r="G21" s="103"/>
      <c r="H21" s="103"/>
      <c r="I21" s="103"/>
      <c r="J21" s="103"/>
      <c r="K21" s="104"/>
      <c r="L21" s="105"/>
    </row>
    <row r="22" spans="2:12" ht="15">
      <c r="B22" s="95" t="s">
        <v>106</v>
      </c>
      <c r="C22" s="10"/>
      <c r="D22" s="90">
        <v>1000</v>
      </c>
      <c r="E22" s="90">
        <v>0</v>
      </c>
      <c r="F22" s="10">
        <v>10</v>
      </c>
      <c r="G22" s="90">
        <f aca="true" t="shared" si="0" ref="G22:G27">((D22-E22)/F22)</f>
        <v>100</v>
      </c>
      <c r="H22" s="90">
        <f aca="true" t="shared" si="1" ref="H22:H27">((D22+E22)/2)*$C$10</f>
        <v>25</v>
      </c>
      <c r="I22" s="90">
        <f aca="true" t="shared" si="2" ref="I22:I27">SUM(G22:H22)</f>
        <v>125</v>
      </c>
      <c r="J22" s="90">
        <f aca="true" t="shared" si="3" ref="J22:J27">$I22*($C$6/$C$5)</f>
        <v>8.333333333333334</v>
      </c>
      <c r="K22" s="89"/>
      <c r="L22" s="94"/>
    </row>
    <row r="23" spans="2:12" ht="15">
      <c r="B23" s="95" t="s">
        <v>105</v>
      </c>
      <c r="C23" s="10"/>
      <c r="D23" s="90">
        <v>1000</v>
      </c>
      <c r="E23" s="90">
        <v>500</v>
      </c>
      <c r="F23" s="10">
        <v>20</v>
      </c>
      <c r="G23" s="90">
        <f t="shared" si="0"/>
        <v>25</v>
      </c>
      <c r="H23" s="90">
        <f t="shared" si="1"/>
        <v>37.5</v>
      </c>
      <c r="I23" s="90">
        <f t="shared" si="2"/>
        <v>62.5</v>
      </c>
      <c r="J23" s="90">
        <f t="shared" si="3"/>
        <v>4.166666666666667</v>
      </c>
      <c r="K23" s="89">
        <v>20</v>
      </c>
      <c r="L23" s="94"/>
    </row>
    <row r="24" spans="2:12" ht="15">
      <c r="B24" s="95" t="s">
        <v>5</v>
      </c>
      <c r="C24" s="10" t="s">
        <v>18</v>
      </c>
      <c r="D24" s="90">
        <v>150</v>
      </c>
      <c r="E24" s="90">
        <v>0</v>
      </c>
      <c r="F24" s="10">
        <v>2</v>
      </c>
      <c r="G24" s="90">
        <f t="shared" si="0"/>
        <v>75</v>
      </c>
      <c r="H24" s="90">
        <f t="shared" si="1"/>
        <v>3.75</v>
      </c>
      <c r="I24" s="90">
        <f t="shared" si="2"/>
        <v>78.75</v>
      </c>
      <c r="J24" s="90">
        <f t="shared" si="3"/>
        <v>5.25</v>
      </c>
      <c r="K24" s="89"/>
      <c r="L24" s="94"/>
    </row>
    <row r="25" spans="2:12" ht="15">
      <c r="B25" s="95" t="s">
        <v>6</v>
      </c>
      <c r="C25" s="10"/>
      <c r="D25" s="90">
        <v>100</v>
      </c>
      <c r="E25" s="90">
        <v>0</v>
      </c>
      <c r="F25" s="10">
        <v>5</v>
      </c>
      <c r="G25" s="90">
        <f t="shared" si="0"/>
        <v>20</v>
      </c>
      <c r="H25" s="90">
        <f t="shared" si="1"/>
        <v>2.5</v>
      </c>
      <c r="I25" s="90">
        <f t="shared" si="2"/>
        <v>22.5</v>
      </c>
      <c r="J25" s="90">
        <f t="shared" si="3"/>
        <v>1.5</v>
      </c>
      <c r="K25" s="89"/>
      <c r="L25" s="94"/>
    </row>
    <row r="26" spans="2:12" ht="15">
      <c r="B26" s="95" t="s">
        <v>103</v>
      </c>
      <c r="C26" s="89"/>
      <c r="D26" s="90">
        <v>950</v>
      </c>
      <c r="E26" s="90">
        <v>0</v>
      </c>
      <c r="F26" s="10">
        <v>20</v>
      </c>
      <c r="G26" s="90">
        <f t="shared" si="0"/>
        <v>47.5</v>
      </c>
      <c r="H26" s="90">
        <f t="shared" si="1"/>
        <v>23.75</v>
      </c>
      <c r="I26" s="90">
        <f t="shared" si="2"/>
        <v>71.25</v>
      </c>
      <c r="J26" s="90">
        <f t="shared" si="3"/>
        <v>4.75</v>
      </c>
      <c r="K26" s="89"/>
      <c r="L26" s="94"/>
    </row>
    <row r="27" spans="2:12" ht="15">
      <c r="B27" s="95" t="s">
        <v>104</v>
      </c>
      <c r="C27" s="10"/>
      <c r="D27" s="90">
        <v>480</v>
      </c>
      <c r="E27" s="90">
        <v>0</v>
      </c>
      <c r="F27" s="10">
        <v>5</v>
      </c>
      <c r="G27" s="90">
        <f t="shared" si="0"/>
        <v>96</v>
      </c>
      <c r="H27" s="90">
        <f t="shared" si="1"/>
        <v>12</v>
      </c>
      <c r="I27" s="90">
        <f t="shared" si="2"/>
        <v>108</v>
      </c>
      <c r="J27" s="90">
        <f t="shared" si="3"/>
        <v>7.2</v>
      </c>
      <c r="K27" s="89"/>
      <c r="L27" s="94"/>
    </row>
    <row r="28" spans="2:12" ht="15.75" thickBot="1">
      <c r="B28" s="96" t="s">
        <v>7</v>
      </c>
      <c r="C28" s="97"/>
      <c r="D28" s="98"/>
      <c r="E28" s="98"/>
      <c r="F28" s="97"/>
      <c r="G28" s="98"/>
      <c r="H28" s="98"/>
      <c r="I28" s="99">
        <f>SUM(I22:I27)</f>
        <v>468</v>
      </c>
      <c r="J28" s="99">
        <f>SUM(J22:J27)</f>
        <v>31.2</v>
      </c>
      <c r="K28" s="100"/>
      <c r="L28" s="101"/>
    </row>
    <row r="29" spans="2:12" ht="15.75" thickBot="1">
      <c r="B29" s="1"/>
      <c r="C29" s="1"/>
      <c r="D29" s="2"/>
      <c r="E29" s="2"/>
      <c r="F29" s="1"/>
      <c r="G29" s="2"/>
      <c r="H29" s="2"/>
      <c r="I29" s="2"/>
      <c r="J29" s="2"/>
      <c r="K29" s="14"/>
      <c r="L29" s="14"/>
    </row>
    <row r="30" spans="2:12" ht="15">
      <c r="B30" s="106" t="s">
        <v>19</v>
      </c>
      <c r="C30" s="102"/>
      <c r="D30" s="103"/>
      <c r="E30" s="103"/>
      <c r="F30" s="102"/>
      <c r="G30" s="103"/>
      <c r="H30" s="103"/>
      <c r="I30" s="103"/>
      <c r="J30" s="103"/>
      <c r="K30" s="104"/>
      <c r="L30" s="105"/>
    </row>
    <row r="31" spans="2:12" ht="15">
      <c r="B31" s="95" t="s">
        <v>102</v>
      </c>
      <c r="C31" s="10"/>
      <c r="D31" s="90">
        <v>300</v>
      </c>
      <c r="E31" s="90">
        <v>0</v>
      </c>
      <c r="F31" s="10">
        <v>3</v>
      </c>
      <c r="G31" s="90">
        <f>((D31-E31)/F31)</f>
        <v>100</v>
      </c>
      <c r="H31" s="90">
        <f>((D31+E31)/2)*$C$10</f>
        <v>7.5</v>
      </c>
      <c r="I31" s="90">
        <f>SUM(G31:H31)</f>
        <v>107.5</v>
      </c>
      <c r="J31" s="90">
        <f>I31</f>
        <v>107.5</v>
      </c>
      <c r="K31" s="89"/>
      <c r="L31" s="94"/>
    </row>
    <row r="32" spans="2:12" ht="15">
      <c r="B32" s="95" t="s">
        <v>20</v>
      </c>
      <c r="C32" s="10"/>
      <c r="D32" s="90">
        <v>400</v>
      </c>
      <c r="E32" s="90">
        <v>0</v>
      </c>
      <c r="F32" s="10">
        <v>3</v>
      </c>
      <c r="G32" s="90">
        <f>((D32-E32)/F32)</f>
        <v>133.33333333333334</v>
      </c>
      <c r="H32" s="90">
        <f>((D32+E32)/2)*$C$10</f>
        <v>10</v>
      </c>
      <c r="I32" s="90">
        <f>SUM(G32:H32)</f>
        <v>143.33333333333334</v>
      </c>
      <c r="J32" s="90">
        <f>I32</f>
        <v>143.33333333333334</v>
      </c>
      <c r="K32" s="89"/>
      <c r="L32" s="94"/>
    </row>
    <row r="33" spans="2:12" ht="15.75" thickBot="1">
      <c r="B33" s="96" t="s">
        <v>8</v>
      </c>
      <c r="C33" s="97"/>
      <c r="D33" s="98"/>
      <c r="E33" s="98"/>
      <c r="F33" s="97"/>
      <c r="G33" s="98"/>
      <c r="H33" s="98"/>
      <c r="I33" s="99">
        <f>SUM(I31:I32)</f>
        <v>250.83333333333334</v>
      </c>
      <c r="J33" s="99">
        <f>SUM(J31:J32)</f>
        <v>250.83333333333334</v>
      </c>
      <c r="K33" s="100"/>
      <c r="L33" s="101"/>
    </row>
    <row r="34" spans="2:12" ht="15.75" thickBot="1">
      <c r="B34" s="1"/>
      <c r="C34" s="1"/>
      <c r="D34" s="2"/>
      <c r="E34" s="2"/>
      <c r="F34" s="1"/>
      <c r="G34" s="2"/>
      <c r="H34" s="2"/>
      <c r="I34" s="2"/>
      <c r="J34" s="2"/>
      <c r="K34" s="14"/>
      <c r="L34" s="14"/>
    </row>
    <row r="35" spans="2:12" ht="15">
      <c r="B35" s="106" t="s">
        <v>40</v>
      </c>
      <c r="C35" s="102"/>
      <c r="D35" s="103"/>
      <c r="E35" s="103"/>
      <c r="F35" s="102"/>
      <c r="G35" s="103"/>
      <c r="H35" s="103"/>
      <c r="I35" s="103"/>
      <c r="J35" s="103"/>
      <c r="K35" s="104"/>
      <c r="L35" s="105"/>
    </row>
    <row r="36" spans="2:12" ht="15">
      <c r="B36" s="95" t="s">
        <v>101</v>
      </c>
      <c r="C36" s="10" t="s">
        <v>9</v>
      </c>
      <c r="D36" s="90">
        <v>2000</v>
      </c>
      <c r="E36" s="90">
        <v>0</v>
      </c>
      <c r="F36" s="10">
        <v>20</v>
      </c>
      <c r="G36" s="90">
        <f>((D36-E36)/F36)</f>
        <v>100</v>
      </c>
      <c r="H36" s="90">
        <f>((D36+E36)/2)*$C$10</f>
        <v>50</v>
      </c>
      <c r="I36" s="90">
        <f>SUM(G36:H36)</f>
        <v>150</v>
      </c>
      <c r="J36" s="90">
        <f>I36</f>
        <v>150</v>
      </c>
      <c r="K36" s="89"/>
      <c r="L36" s="94"/>
    </row>
    <row r="37" spans="2:12" ht="15">
      <c r="B37" s="95" t="s">
        <v>107</v>
      </c>
      <c r="C37" s="10"/>
      <c r="D37" s="90">
        <v>1500</v>
      </c>
      <c r="E37" s="90">
        <v>0</v>
      </c>
      <c r="F37" s="10">
        <v>15</v>
      </c>
      <c r="G37" s="90">
        <f>((D37-E37)/F37)</f>
        <v>100</v>
      </c>
      <c r="H37" s="90">
        <f>((D37+E37)/2)*$C$10</f>
        <v>37.5</v>
      </c>
      <c r="I37" s="90">
        <f>SUM(G37:H37)</f>
        <v>137.5</v>
      </c>
      <c r="J37" s="90">
        <f>I37</f>
        <v>137.5</v>
      </c>
      <c r="K37" s="89"/>
      <c r="L37" s="94"/>
    </row>
    <row r="38" spans="2:12" ht="15.75" thickBot="1">
      <c r="B38" s="96" t="s">
        <v>10</v>
      </c>
      <c r="C38" s="97"/>
      <c r="D38" s="98"/>
      <c r="E38" s="98"/>
      <c r="F38" s="97"/>
      <c r="G38" s="98"/>
      <c r="H38" s="98"/>
      <c r="I38" s="99">
        <f>SUM(I36:I37)</f>
        <v>287.5</v>
      </c>
      <c r="J38" s="99">
        <f>SUM(J36:J37)</f>
        <v>287.5</v>
      </c>
      <c r="K38" s="100"/>
      <c r="L38" s="101"/>
    </row>
    <row r="39" spans="2:12" ht="15.75" thickBot="1">
      <c r="B39" s="19"/>
      <c r="C39" s="1"/>
      <c r="D39" s="2"/>
      <c r="E39" s="2"/>
      <c r="F39" s="1"/>
      <c r="G39" s="2"/>
      <c r="H39" s="2"/>
      <c r="I39" s="20"/>
      <c r="J39" s="20"/>
      <c r="K39" s="14"/>
      <c r="L39" s="14"/>
    </row>
    <row r="40" spans="2:12" ht="15">
      <c r="B40" s="106" t="s">
        <v>110</v>
      </c>
      <c r="C40" s="102"/>
      <c r="D40" s="102"/>
      <c r="E40" s="103"/>
      <c r="F40" s="102"/>
      <c r="G40" s="102"/>
      <c r="H40" s="102"/>
      <c r="I40" s="103"/>
      <c r="J40" s="102"/>
      <c r="K40" s="104"/>
      <c r="L40" s="105"/>
    </row>
    <row r="41" spans="2:12" ht="15">
      <c r="B41" s="95" t="s">
        <v>65</v>
      </c>
      <c r="C41" s="10"/>
      <c r="D41" s="10">
        <f>400*C5</f>
        <v>3000</v>
      </c>
      <c r="E41" s="90"/>
      <c r="F41" s="10"/>
      <c r="G41" s="10"/>
      <c r="H41" s="90">
        <f aca="true" t="shared" si="4" ref="H41:H48">D41*$C$10</f>
        <v>150</v>
      </c>
      <c r="I41" s="90">
        <f>D41+H41</f>
        <v>3150</v>
      </c>
      <c r="J41" s="90">
        <f>$I41*($C$6/$C$5)</f>
        <v>210</v>
      </c>
      <c r="K41" s="89"/>
      <c r="L41" s="94"/>
    </row>
    <row r="42" spans="2:12" ht="15">
      <c r="B42" s="95" t="s">
        <v>11</v>
      </c>
      <c r="C42" s="10"/>
      <c r="D42" s="10">
        <v>100</v>
      </c>
      <c r="E42" s="90"/>
      <c r="F42" s="10"/>
      <c r="G42" s="10"/>
      <c r="H42" s="90">
        <f t="shared" si="4"/>
        <v>5</v>
      </c>
      <c r="I42" s="90">
        <f aca="true" t="shared" si="5" ref="I42:I48">D42+H42</f>
        <v>105</v>
      </c>
      <c r="J42" s="90">
        <f aca="true" t="shared" si="6" ref="J42:J48">$I42*($C$6/$C$5)</f>
        <v>7</v>
      </c>
      <c r="K42" s="89"/>
      <c r="L42" s="94"/>
    </row>
    <row r="43" spans="2:12" ht="15">
      <c r="B43" s="95" t="s">
        <v>13</v>
      </c>
      <c r="C43" s="10"/>
      <c r="D43" s="10">
        <v>840</v>
      </c>
      <c r="E43" s="90"/>
      <c r="F43" s="10"/>
      <c r="G43" s="10"/>
      <c r="H43" s="90">
        <f t="shared" si="4"/>
        <v>42</v>
      </c>
      <c r="I43" s="90">
        <f t="shared" si="5"/>
        <v>882</v>
      </c>
      <c r="J43" s="90">
        <f t="shared" si="6"/>
        <v>58.8</v>
      </c>
      <c r="K43" s="89"/>
      <c r="L43" s="94"/>
    </row>
    <row r="44" spans="2:12" ht="15">
      <c r="B44" s="95" t="s">
        <v>100</v>
      </c>
      <c r="C44" s="10"/>
      <c r="D44" s="10">
        <f>SUM(L14:L37)</f>
        <v>1200</v>
      </c>
      <c r="E44" s="90"/>
      <c r="F44" s="10"/>
      <c r="G44" s="10"/>
      <c r="H44" s="90">
        <f t="shared" si="4"/>
        <v>60</v>
      </c>
      <c r="I44" s="90">
        <f t="shared" si="5"/>
        <v>1260</v>
      </c>
      <c r="J44" s="90">
        <f t="shared" si="6"/>
        <v>84</v>
      </c>
      <c r="K44" s="89"/>
      <c r="L44" s="94"/>
    </row>
    <row r="45" spans="2:12" ht="15">
      <c r="B45" s="95" t="s">
        <v>79</v>
      </c>
      <c r="C45" s="10"/>
      <c r="D45" s="10">
        <v>480</v>
      </c>
      <c r="E45" s="90"/>
      <c r="F45" s="10"/>
      <c r="G45" s="10"/>
      <c r="H45" s="90">
        <f t="shared" si="4"/>
        <v>24</v>
      </c>
      <c r="I45" s="90">
        <f t="shared" si="5"/>
        <v>504</v>
      </c>
      <c r="J45" s="90">
        <f t="shared" si="6"/>
        <v>33.6</v>
      </c>
      <c r="K45" s="89"/>
      <c r="L45" s="94"/>
    </row>
    <row r="46" spans="2:12" ht="15">
      <c r="B46" s="95" t="s">
        <v>78</v>
      </c>
      <c r="C46" s="10"/>
      <c r="D46" s="10">
        <v>50</v>
      </c>
      <c r="E46" s="90"/>
      <c r="F46" s="10"/>
      <c r="G46" s="10"/>
      <c r="H46" s="90">
        <f>D46*$C$10</f>
        <v>2.5</v>
      </c>
      <c r="I46" s="90">
        <f t="shared" si="5"/>
        <v>52.5</v>
      </c>
      <c r="J46" s="90">
        <f t="shared" si="6"/>
        <v>3.5</v>
      </c>
      <c r="K46" s="89"/>
      <c r="L46" s="94"/>
    </row>
    <row r="47" spans="2:12" ht="15">
      <c r="B47" s="95" t="s">
        <v>12</v>
      </c>
      <c r="C47" s="10"/>
      <c r="D47" s="10">
        <v>1000</v>
      </c>
      <c r="E47" s="90"/>
      <c r="F47" s="10"/>
      <c r="G47" s="10"/>
      <c r="H47" s="90">
        <f t="shared" si="4"/>
        <v>50</v>
      </c>
      <c r="I47" s="90">
        <f t="shared" si="5"/>
        <v>1050</v>
      </c>
      <c r="J47" s="90">
        <f t="shared" si="6"/>
        <v>70</v>
      </c>
      <c r="K47" s="89"/>
      <c r="L47" s="94"/>
    </row>
    <row r="48" spans="2:12" ht="15">
      <c r="B48" s="95" t="s">
        <v>99</v>
      </c>
      <c r="C48" s="10"/>
      <c r="D48" s="10">
        <v>500</v>
      </c>
      <c r="E48" s="90"/>
      <c r="F48" s="10"/>
      <c r="G48" s="10"/>
      <c r="H48" s="90">
        <f t="shared" si="4"/>
        <v>25</v>
      </c>
      <c r="I48" s="90">
        <f t="shared" si="5"/>
        <v>525</v>
      </c>
      <c r="J48" s="90">
        <f t="shared" si="6"/>
        <v>35</v>
      </c>
      <c r="K48" s="89"/>
      <c r="L48" s="94"/>
    </row>
    <row r="49" spans="2:12" ht="15.75" thickBot="1">
      <c r="B49" s="96" t="s">
        <v>66</v>
      </c>
      <c r="C49" s="107"/>
      <c r="D49" s="107"/>
      <c r="E49" s="99"/>
      <c r="F49" s="107"/>
      <c r="G49" s="107"/>
      <c r="H49" s="107"/>
      <c r="I49" s="99">
        <f>SUM(I41:I48)</f>
        <v>7528.5</v>
      </c>
      <c r="J49" s="99">
        <f>SUM(J41:J48)</f>
        <v>501.90000000000003</v>
      </c>
      <c r="K49" s="100"/>
      <c r="L49" s="101"/>
    </row>
    <row r="50" spans="2:10" ht="15.75" thickBot="1">
      <c r="B50" s="1"/>
      <c r="C50" s="1"/>
      <c r="D50" s="1"/>
      <c r="E50" s="2"/>
      <c r="F50" s="1"/>
      <c r="G50" s="1"/>
      <c r="H50" s="1"/>
      <c r="I50" s="1"/>
      <c r="J50" s="1"/>
    </row>
    <row r="51" spans="2:12" ht="15.75" thickBot="1">
      <c r="B51" s="83" t="s">
        <v>49</v>
      </c>
      <c r="C51" s="84"/>
      <c r="D51" s="85">
        <f>SUM(K14:K38)</f>
        <v>2650</v>
      </c>
      <c r="E51" s="85"/>
      <c r="F51" s="84"/>
      <c r="G51" s="85"/>
      <c r="H51" s="85"/>
      <c r="I51" s="85">
        <f>D51</f>
        <v>2650</v>
      </c>
      <c r="J51" s="85">
        <f>($I51)*$C$6/$C$5</f>
        <v>176.66666666666666</v>
      </c>
      <c r="K51" s="86"/>
      <c r="L51" s="87"/>
    </row>
    <row r="52" spans="2:10" ht="15">
      <c r="B52" s="1"/>
      <c r="C52" s="1"/>
      <c r="D52" s="2"/>
      <c r="E52" s="2"/>
      <c r="F52" s="1"/>
      <c r="G52" s="1"/>
      <c r="H52" s="1"/>
      <c r="I52" s="1"/>
      <c r="J52" s="1"/>
    </row>
  </sheetData>
  <sheetProtection/>
  <mergeCells count="3">
    <mergeCell ref="B1:L1"/>
    <mergeCell ref="B2:L2"/>
    <mergeCell ref="B3:L3"/>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1:Q70"/>
  <sheetViews>
    <sheetView zoomScalePageLayoutView="0" workbookViewId="0" topLeftCell="A25">
      <selection activeCell="W49" sqref="W49"/>
    </sheetView>
  </sheetViews>
  <sheetFormatPr defaultColWidth="9.140625" defaultRowHeight="15"/>
  <cols>
    <col min="1" max="1" width="9.140625" style="3" customWidth="1"/>
    <col min="2" max="2" width="39.57421875" style="3" bestFit="1" customWidth="1"/>
    <col min="3" max="3" width="16.421875" style="3" bestFit="1" customWidth="1"/>
    <col min="4" max="4" width="8.00390625" style="3" bestFit="1" customWidth="1"/>
    <col min="5" max="5" width="6.7109375" style="3" bestFit="1" customWidth="1"/>
    <col min="6" max="6" width="9.8515625" style="3" bestFit="1" customWidth="1"/>
    <col min="7" max="7" width="10.28125" style="3" bestFit="1" customWidth="1"/>
    <col min="8" max="8" width="16.421875" style="3" bestFit="1" customWidth="1"/>
    <col min="9" max="9" width="8.00390625" style="3" bestFit="1" customWidth="1"/>
    <col min="10" max="10" width="6.7109375" style="3" bestFit="1" customWidth="1"/>
    <col min="11" max="11" width="9.8515625" style="3" bestFit="1" customWidth="1"/>
    <col min="12" max="12" width="10.28125" style="3" bestFit="1" customWidth="1"/>
    <col min="13" max="13" width="16.421875" style="3" bestFit="1" customWidth="1"/>
    <col min="14" max="14" width="8.00390625" style="3" bestFit="1" customWidth="1"/>
    <col min="15" max="15" width="6.7109375" style="3" bestFit="1" customWidth="1"/>
    <col min="16" max="16" width="9.8515625" style="3" bestFit="1" customWidth="1"/>
    <col min="17" max="17" width="10.28125" style="3" bestFit="1" customWidth="1"/>
    <col min="18" max="16384" width="9.140625" style="3" customWidth="1"/>
  </cols>
  <sheetData>
    <row r="1" spans="2:17" ht="18.75" customHeight="1" thickBot="1">
      <c r="B1" s="146" t="s">
        <v>98</v>
      </c>
      <c r="C1" s="147"/>
      <c r="D1" s="147"/>
      <c r="E1" s="147"/>
      <c r="F1" s="147"/>
      <c r="G1" s="147"/>
      <c r="H1" s="147"/>
      <c r="I1" s="147"/>
      <c r="J1" s="147"/>
      <c r="K1" s="147"/>
      <c r="L1" s="147"/>
      <c r="M1" s="147"/>
      <c r="N1" s="147"/>
      <c r="O1" s="147"/>
      <c r="P1" s="147"/>
      <c r="Q1" s="148"/>
    </row>
    <row r="2" spans="2:17" ht="80.25" customHeight="1" thickBot="1">
      <c r="B2" s="155" t="s">
        <v>43</v>
      </c>
      <c r="C2" s="156"/>
      <c r="D2" s="156"/>
      <c r="E2" s="156"/>
      <c r="F2" s="156"/>
      <c r="G2" s="156"/>
      <c r="H2" s="156"/>
      <c r="I2" s="156"/>
      <c r="J2" s="156"/>
      <c r="K2" s="156"/>
      <c r="L2" s="156"/>
      <c r="M2" s="156"/>
      <c r="N2" s="156"/>
      <c r="O2" s="156"/>
      <c r="P2" s="156"/>
      <c r="Q2" s="157"/>
    </row>
    <row r="3" spans="2:17" s="14" customFormat="1" ht="15.75" thickBot="1">
      <c r="B3" s="16"/>
      <c r="C3" s="16"/>
      <c r="D3" s="16"/>
      <c r="E3" s="16"/>
      <c r="F3" s="16"/>
      <c r="G3" s="16"/>
      <c r="H3" s="16"/>
      <c r="I3" s="16"/>
      <c r="J3" s="16"/>
      <c r="K3" s="16"/>
      <c r="L3" s="16"/>
      <c r="M3" s="16"/>
      <c r="N3" s="16"/>
      <c r="O3" s="16"/>
      <c r="P3" s="16"/>
      <c r="Q3" s="16"/>
    </row>
    <row r="4" spans="2:15" ht="15">
      <c r="B4" s="36" t="s">
        <v>55</v>
      </c>
      <c r="C4" s="37">
        <v>7.5</v>
      </c>
      <c r="D4" s="38" t="s">
        <v>0</v>
      </c>
      <c r="E4" s="16"/>
      <c r="F4" s="16"/>
      <c r="G4" s="16"/>
      <c r="H4" s="16"/>
      <c r="I4" s="16"/>
      <c r="J4" s="16"/>
      <c r="K4" s="16"/>
      <c r="L4" s="16"/>
      <c r="M4" s="16"/>
      <c r="N4" s="16"/>
      <c r="O4" s="16"/>
    </row>
    <row r="5" spans="2:15" ht="15">
      <c r="B5" s="39" t="s">
        <v>62</v>
      </c>
      <c r="C5" s="16">
        <v>7</v>
      </c>
      <c r="D5" s="40" t="s">
        <v>56</v>
      </c>
      <c r="E5" s="16"/>
      <c r="F5" s="16"/>
      <c r="G5" s="16"/>
      <c r="H5" s="16"/>
      <c r="I5" s="16"/>
      <c r="J5" s="16"/>
      <c r="K5" s="16"/>
      <c r="L5" s="16"/>
      <c r="M5" s="16"/>
      <c r="N5" s="16"/>
      <c r="O5" s="16"/>
    </row>
    <row r="6" spans="2:15" ht="15">
      <c r="B6" s="39" t="s">
        <v>63</v>
      </c>
      <c r="C6" s="16">
        <v>0.5</v>
      </c>
      <c r="D6" s="40" t="s">
        <v>56</v>
      </c>
      <c r="E6" s="16"/>
      <c r="F6" s="16"/>
      <c r="G6" s="16"/>
      <c r="H6" s="16"/>
      <c r="I6" s="16"/>
      <c r="J6" s="16"/>
      <c r="K6" s="16"/>
      <c r="L6" s="16"/>
      <c r="M6" s="16"/>
      <c r="N6" s="16"/>
      <c r="O6" s="16"/>
    </row>
    <row r="7" spans="2:15" ht="15">
      <c r="B7" s="39" t="s">
        <v>64</v>
      </c>
      <c r="C7" s="16">
        <v>21780</v>
      </c>
      <c r="D7" s="40" t="s">
        <v>57</v>
      </c>
      <c r="E7" s="16"/>
      <c r="F7" s="16"/>
      <c r="G7" s="16"/>
      <c r="H7" s="16"/>
      <c r="I7" s="16"/>
      <c r="J7" s="16"/>
      <c r="K7" s="16"/>
      <c r="L7" s="16"/>
      <c r="M7" s="16"/>
      <c r="N7" s="16"/>
      <c r="O7" s="16"/>
    </row>
    <row r="8" spans="2:15" ht="15">
      <c r="B8" s="39" t="s">
        <v>58</v>
      </c>
      <c r="C8" s="16">
        <v>400</v>
      </c>
      <c r="D8" s="40" t="s">
        <v>57</v>
      </c>
      <c r="E8" s="16"/>
      <c r="F8" s="16"/>
      <c r="G8" s="16"/>
      <c r="H8" s="16"/>
      <c r="I8" s="16"/>
      <c r="J8" s="16"/>
      <c r="K8" s="16"/>
      <c r="L8" s="16"/>
      <c r="M8" s="16"/>
      <c r="N8" s="16"/>
      <c r="O8" s="16"/>
    </row>
    <row r="9" spans="2:15" ht="15">
      <c r="B9" s="39" t="s">
        <v>59</v>
      </c>
      <c r="C9" s="16">
        <v>54</v>
      </c>
      <c r="D9" s="40" t="s">
        <v>60</v>
      </c>
      <c r="E9" s="16"/>
      <c r="F9" s="16"/>
      <c r="G9" s="16"/>
      <c r="H9" s="16"/>
      <c r="I9" s="16"/>
      <c r="J9" s="16"/>
      <c r="K9" s="16"/>
      <c r="L9" s="16"/>
      <c r="M9" s="16"/>
      <c r="N9" s="16"/>
      <c r="O9" s="16"/>
    </row>
    <row r="10" spans="2:15" ht="15.75" thickBot="1">
      <c r="B10" s="41" t="s">
        <v>61</v>
      </c>
      <c r="C10" s="42">
        <v>0.05</v>
      </c>
      <c r="D10" s="43"/>
      <c r="E10" s="16"/>
      <c r="F10" s="16"/>
      <c r="G10" s="16"/>
      <c r="H10" s="16"/>
      <c r="I10" s="16"/>
      <c r="J10" s="16"/>
      <c r="K10" s="16"/>
      <c r="L10" s="16"/>
      <c r="M10" s="16"/>
      <c r="N10" s="16"/>
      <c r="O10" s="16"/>
    </row>
    <row r="11" spans="2:15" ht="15">
      <c r="B11" s="16"/>
      <c r="C11" s="16"/>
      <c r="D11" s="16"/>
      <c r="E11" s="16"/>
      <c r="F11" s="16"/>
      <c r="G11" s="16"/>
      <c r="H11" s="16"/>
      <c r="I11" s="16"/>
      <c r="J11" s="16"/>
      <c r="K11" s="16"/>
      <c r="L11" s="16"/>
      <c r="M11" s="16"/>
      <c r="N11" s="16"/>
      <c r="O11" s="16"/>
    </row>
    <row r="12" spans="2:17" ht="15.75" thickBot="1">
      <c r="B12" s="4"/>
      <c r="C12" s="158" t="s">
        <v>111</v>
      </c>
      <c r="D12" s="158"/>
      <c r="E12" s="158"/>
      <c r="F12" s="158"/>
      <c r="G12" s="158"/>
      <c r="H12" s="159" t="s">
        <v>112</v>
      </c>
      <c r="I12" s="159"/>
      <c r="J12" s="159"/>
      <c r="K12" s="159"/>
      <c r="L12" s="159"/>
      <c r="M12" s="159" t="s">
        <v>113</v>
      </c>
      <c r="N12" s="159"/>
      <c r="O12" s="159"/>
      <c r="P12" s="159"/>
      <c r="Q12" s="159"/>
    </row>
    <row r="13" spans="2:17" ht="15">
      <c r="B13" s="69" t="s">
        <v>21</v>
      </c>
      <c r="C13" s="70" t="s">
        <v>83</v>
      </c>
      <c r="D13" s="71" t="s">
        <v>22</v>
      </c>
      <c r="E13" s="71" t="s">
        <v>80</v>
      </c>
      <c r="F13" s="72" t="s">
        <v>81</v>
      </c>
      <c r="G13" s="73" t="s">
        <v>82</v>
      </c>
      <c r="H13" s="70" t="s">
        <v>83</v>
      </c>
      <c r="I13" s="71" t="s">
        <v>22</v>
      </c>
      <c r="J13" s="71" t="s">
        <v>80</v>
      </c>
      <c r="K13" s="72" t="s">
        <v>81</v>
      </c>
      <c r="L13" s="73" t="s">
        <v>82</v>
      </c>
      <c r="M13" s="70" t="s">
        <v>83</v>
      </c>
      <c r="N13" s="71" t="s">
        <v>22</v>
      </c>
      <c r="O13" s="71" t="s">
        <v>80</v>
      </c>
      <c r="P13" s="72" t="s">
        <v>81</v>
      </c>
      <c r="Q13" s="73" t="s">
        <v>82</v>
      </c>
    </row>
    <row r="14" spans="2:17" ht="15.75" thickBot="1">
      <c r="B14" s="44" t="s">
        <v>14</v>
      </c>
      <c r="C14" s="62">
        <v>0</v>
      </c>
      <c r="D14" s="63" t="s">
        <v>85</v>
      </c>
      <c r="E14" s="63">
        <v>1.5</v>
      </c>
      <c r="F14" s="64">
        <f>C14*E14</f>
        <v>0</v>
      </c>
      <c r="G14" s="68">
        <f>F14/C9</f>
        <v>0</v>
      </c>
      <c r="H14" s="65">
        <v>2100</v>
      </c>
      <c r="I14" s="63" t="s">
        <v>85</v>
      </c>
      <c r="J14" s="66">
        <v>1.5</v>
      </c>
      <c r="K14" s="67">
        <f>H14*J14</f>
        <v>3150</v>
      </c>
      <c r="L14" s="68">
        <f>K14/C9</f>
        <v>58.333333333333336</v>
      </c>
      <c r="M14" s="65">
        <v>7000</v>
      </c>
      <c r="N14" s="63" t="s">
        <v>85</v>
      </c>
      <c r="O14" s="66">
        <v>1.5</v>
      </c>
      <c r="P14" s="67">
        <f>M14*O14</f>
        <v>10500</v>
      </c>
      <c r="Q14" s="68">
        <f>P14/C9</f>
        <v>194.44444444444446</v>
      </c>
    </row>
    <row r="15" spans="2:17" ht="15.75" thickBot="1">
      <c r="B15" s="15"/>
      <c r="C15" s="13"/>
      <c r="D15" s="4"/>
      <c r="E15" s="4"/>
      <c r="F15" s="5"/>
      <c r="G15" s="5"/>
      <c r="H15" s="13"/>
      <c r="I15" s="4"/>
      <c r="J15" s="4"/>
      <c r="K15" s="5"/>
      <c r="L15" s="5"/>
      <c r="M15" s="13"/>
      <c r="N15" s="4"/>
      <c r="O15" s="4"/>
      <c r="P15" s="5"/>
      <c r="Q15" s="5"/>
    </row>
    <row r="16" spans="2:17" ht="15">
      <c r="B16" s="69" t="s">
        <v>84</v>
      </c>
      <c r="C16" s="70" t="s">
        <v>83</v>
      </c>
      <c r="D16" s="71" t="s">
        <v>22</v>
      </c>
      <c r="E16" s="71" t="s">
        <v>80</v>
      </c>
      <c r="F16" s="72" t="s">
        <v>81</v>
      </c>
      <c r="G16" s="73" t="s">
        <v>82</v>
      </c>
      <c r="H16" s="70" t="s">
        <v>83</v>
      </c>
      <c r="I16" s="71" t="s">
        <v>22</v>
      </c>
      <c r="J16" s="71" t="s">
        <v>80</v>
      </c>
      <c r="K16" s="72" t="s">
        <v>81</v>
      </c>
      <c r="L16" s="73" t="s">
        <v>82</v>
      </c>
      <c r="M16" s="70" t="s">
        <v>83</v>
      </c>
      <c r="N16" s="71" t="s">
        <v>22</v>
      </c>
      <c r="O16" s="71" t="s">
        <v>80</v>
      </c>
      <c r="P16" s="72" t="s">
        <v>81</v>
      </c>
      <c r="Q16" s="73" t="s">
        <v>82</v>
      </c>
    </row>
    <row r="17" spans="2:17" ht="15">
      <c r="B17" s="111" t="s">
        <v>23</v>
      </c>
      <c r="C17" s="112"/>
      <c r="D17" s="112"/>
      <c r="E17" s="112"/>
      <c r="F17" s="112"/>
      <c r="G17" s="112"/>
      <c r="H17" s="112"/>
      <c r="I17" s="112"/>
      <c r="J17" s="112"/>
      <c r="K17" s="112"/>
      <c r="L17" s="112"/>
      <c r="M17" s="112"/>
      <c r="N17" s="112"/>
      <c r="O17" s="112"/>
      <c r="P17" s="112"/>
      <c r="Q17" s="113"/>
    </row>
    <row r="18" spans="2:17" ht="15">
      <c r="B18" s="25" t="s">
        <v>24</v>
      </c>
      <c r="C18" s="53"/>
      <c r="D18" s="49"/>
      <c r="E18" s="50"/>
      <c r="F18" s="48"/>
      <c r="G18" s="54"/>
      <c r="H18" s="53"/>
      <c r="I18" s="49"/>
      <c r="J18" s="50"/>
      <c r="K18" s="48"/>
      <c r="L18" s="54"/>
      <c r="M18" s="53"/>
      <c r="N18" s="49"/>
      <c r="O18" s="50"/>
      <c r="P18" s="48"/>
      <c r="Q18" s="54"/>
    </row>
    <row r="19" spans="2:17" ht="15">
      <c r="B19" s="26" t="s">
        <v>45</v>
      </c>
      <c r="C19" s="53">
        <v>1200</v>
      </c>
      <c r="D19" s="108" t="s">
        <v>25</v>
      </c>
      <c r="E19" s="50">
        <v>4</v>
      </c>
      <c r="F19" s="48">
        <f>C19*E19</f>
        <v>4800</v>
      </c>
      <c r="G19" s="54">
        <f>F19/$C$9</f>
        <v>88.88888888888889</v>
      </c>
      <c r="H19" s="53"/>
      <c r="I19" s="49"/>
      <c r="J19" s="50"/>
      <c r="K19" s="48"/>
      <c r="L19" s="54"/>
      <c r="M19" s="53"/>
      <c r="N19" s="49"/>
      <c r="O19" s="50"/>
      <c r="P19" s="48"/>
      <c r="Q19" s="54"/>
    </row>
    <row r="20" spans="2:17" ht="15">
      <c r="B20" s="25" t="s">
        <v>70</v>
      </c>
      <c r="C20" s="53"/>
      <c r="D20" s="108"/>
      <c r="E20" s="50"/>
      <c r="F20" s="48"/>
      <c r="G20" s="54"/>
      <c r="H20" s="53"/>
      <c r="I20" s="49"/>
      <c r="J20" s="50"/>
      <c r="K20" s="48"/>
      <c r="L20" s="54"/>
      <c r="M20" s="53"/>
      <c r="N20" s="49"/>
      <c r="O20" s="50"/>
      <c r="P20" s="48"/>
      <c r="Q20" s="54"/>
    </row>
    <row r="21" spans="2:17" ht="15">
      <c r="B21" s="26" t="s">
        <v>86</v>
      </c>
      <c r="C21" s="53">
        <v>6000</v>
      </c>
      <c r="D21" s="108" t="s">
        <v>85</v>
      </c>
      <c r="E21" s="50"/>
      <c r="F21" s="48">
        <v>40</v>
      </c>
      <c r="G21" s="54">
        <f>F21/$C$9</f>
        <v>0.7407407407407407</v>
      </c>
      <c r="H21" s="53">
        <v>6000</v>
      </c>
      <c r="I21" s="49" t="s">
        <v>85</v>
      </c>
      <c r="J21" s="50"/>
      <c r="K21" s="48">
        <v>40</v>
      </c>
      <c r="L21" s="54">
        <f>K21/$C$9</f>
        <v>0.7407407407407407</v>
      </c>
      <c r="M21" s="53">
        <v>6000</v>
      </c>
      <c r="N21" s="108" t="s">
        <v>85</v>
      </c>
      <c r="O21" s="50"/>
      <c r="P21" s="48">
        <v>40</v>
      </c>
      <c r="Q21" s="54">
        <f>P21/$C$9</f>
        <v>0.7407407407407407</v>
      </c>
    </row>
    <row r="22" spans="2:17" ht="15">
      <c r="B22" s="27" t="s">
        <v>46</v>
      </c>
      <c r="C22" s="55">
        <v>5</v>
      </c>
      <c r="D22" s="108" t="s">
        <v>35</v>
      </c>
      <c r="E22" s="50"/>
      <c r="F22" s="48">
        <v>70</v>
      </c>
      <c r="G22" s="54">
        <f>F22/$C$9</f>
        <v>1.2962962962962963</v>
      </c>
      <c r="H22" s="55">
        <v>5</v>
      </c>
      <c r="I22" s="49" t="s">
        <v>35</v>
      </c>
      <c r="J22" s="50"/>
      <c r="K22" s="48">
        <v>70</v>
      </c>
      <c r="L22" s="54">
        <f>K22/$C$9</f>
        <v>1.2962962962962963</v>
      </c>
      <c r="M22" s="55">
        <v>5</v>
      </c>
      <c r="N22" s="108" t="s">
        <v>35</v>
      </c>
      <c r="O22" s="50"/>
      <c r="P22" s="48">
        <v>70</v>
      </c>
      <c r="Q22" s="54">
        <f>P22/$C$9</f>
        <v>1.2962962962962963</v>
      </c>
    </row>
    <row r="23" spans="2:17" ht="15">
      <c r="B23" s="25" t="s">
        <v>26</v>
      </c>
      <c r="C23" s="53"/>
      <c r="D23" s="108"/>
      <c r="E23" s="50"/>
      <c r="F23" s="48"/>
      <c r="G23" s="54"/>
      <c r="H23" s="53"/>
      <c r="I23" s="49"/>
      <c r="J23" s="50"/>
      <c r="K23" s="48"/>
      <c r="L23" s="54"/>
      <c r="M23" s="53"/>
      <c r="N23" s="108"/>
      <c r="O23" s="50"/>
      <c r="P23" s="48"/>
      <c r="Q23" s="54"/>
    </row>
    <row r="24" spans="2:17" ht="15">
      <c r="B24" s="28" t="s">
        <v>88</v>
      </c>
      <c r="C24" s="55">
        <v>4</v>
      </c>
      <c r="D24" s="108" t="s">
        <v>42</v>
      </c>
      <c r="E24" s="50">
        <v>80</v>
      </c>
      <c r="F24" s="48">
        <f>C24*E24</f>
        <v>320</v>
      </c>
      <c r="G24" s="54">
        <f>F24/$C$9</f>
        <v>5.925925925925926</v>
      </c>
      <c r="H24" s="55">
        <v>4</v>
      </c>
      <c r="I24" s="49" t="s">
        <v>42</v>
      </c>
      <c r="J24" s="50">
        <v>80</v>
      </c>
      <c r="K24" s="48">
        <f>H24*J24</f>
        <v>320</v>
      </c>
      <c r="L24" s="54">
        <f>K24/$C$9</f>
        <v>5.925925925925926</v>
      </c>
      <c r="M24" s="55">
        <v>4</v>
      </c>
      <c r="N24" s="108" t="s">
        <v>42</v>
      </c>
      <c r="O24" s="50">
        <v>80</v>
      </c>
      <c r="P24" s="48">
        <f>M24*O24</f>
        <v>320</v>
      </c>
      <c r="Q24" s="54">
        <f>P24/$C$9</f>
        <v>5.925925925925926</v>
      </c>
    </row>
    <row r="25" spans="2:17" ht="15">
      <c r="B25" s="25" t="s">
        <v>27</v>
      </c>
      <c r="C25" s="53"/>
      <c r="D25" s="108"/>
      <c r="E25" s="50"/>
      <c r="F25" s="48"/>
      <c r="G25" s="54"/>
      <c r="H25" s="53"/>
      <c r="I25" s="49"/>
      <c r="J25" s="50"/>
      <c r="K25" s="48"/>
      <c r="L25" s="54"/>
      <c r="M25" s="53"/>
      <c r="N25" s="108"/>
      <c r="O25" s="50"/>
      <c r="P25" s="48"/>
      <c r="Q25" s="54"/>
    </row>
    <row r="26" spans="2:17" ht="15">
      <c r="B26" s="29" t="s">
        <v>47</v>
      </c>
      <c r="C26" s="53">
        <v>3</v>
      </c>
      <c r="D26" s="108" t="s">
        <v>28</v>
      </c>
      <c r="E26" s="50">
        <v>15</v>
      </c>
      <c r="F26" s="48">
        <f aca="true" t="shared" si="0" ref="F26:F33">C26*E26</f>
        <v>45</v>
      </c>
      <c r="G26" s="54">
        <f>F26/$C$9</f>
        <v>0.8333333333333334</v>
      </c>
      <c r="H26" s="53"/>
      <c r="I26" s="49"/>
      <c r="J26" s="50"/>
      <c r="K26" s="48"/>
      <c r="L26" s="54"/>
      <c r="M26" s="53"/>
      <c r="N26" s="108"/>
      <c r="O26" s="50"/>
      <c r="P26" s="48"/>
      <c r="Q26" s="54"/>
    </row>
    <row r="27" spans="2:17" ht="15">
      <c r="B27" s="29" t="s">
        <v>48</v>
      </c>
      <c r="C27" s="53">
        <v>16</v>
      </c>
      <c r="D27" s="108" t="s">
        <v>28</v>
      </c>
      <c r="E27" s="50">
        <v>12</v>
      </c>
      <c r="F27" s="48">
        <f t="shared" si="0"/>
        <v>192</v>
      </c>
      <c r="G27" s="54">
        <f aca="true" t="shared" si="1" ref="G27:G33">F27/$C$9</f>
        <v>3.5555555555555554</v>
      </c>
      <c r="H27" s="53">
        <v>16</v>
      </c>
      <c r="I27" s="49" t="s">
        <v>28</v>
      </c>
      <c r="J27" s="50">
        <v>15</v>
      </c>
      <c r="K27" s="48">
        <f>H27*J27</f>
        <v>240</v>
      </c>
      <c r="L27" s="54">
        <f>K27/$C$9</f>
        <v>4.444444444444445</v>
      </c>
      <c r="M27" s="53">
        <v>16</v>
      </c>
      <c r="N27" s="108" t="s">
        <v>28</v>
      </c>
      <c r="O27" s="50">
        <v>15</v>
      </c>
      <c r="P27" s="48">
        <f>M27*O27</f>
        <v>240</v>
      </c>
      <c r="Q27" s="54">
        <f>P27/$C$9</f>
        <v>4.444444444444445</v>
      </c>
    </row>
    <row r="28" spans="2:17" ht="15">
      <c r="B28" s="29" t="s">
        <v>36</v>
      </c>
      <c r="C28" s="53">
        <v>8</v>
      </c>
      <c r="D28" s="108" t="s">
        <v>28</v>
      </c>
      <c r="E28" s="50">
        <v>12</v>
      </c>
      <c r="F28" s="48">
        <f t="shared" si="0"/>
        <v>96</v>
      </c>
      <c r="G28" s="54">
        <f t="shared" si="1"/>
        <v>1.7777777777777777</v>
      </c>
      <c r="H28" s="53"/>
      <c r="I28" s="49"/>
      <c r="J28" s="50"/>
      <c r="K28" s="48"/>
      <c r="L28" s="54"/>
      <c r="M28" s="53"/>
      <c r="N28" s="108"/>
      <c r="O28" s="50"/>
      <c r="P28" s="48"/>
      <c r="Q28" s="54"/>
    </row>
    <row r="29" spans="2:17" ht="15">
      <c r="B29" s="29" t="s">
        <v>87</v>
      </c>
      <c r="C29" s="55">
        <v>16</v>
      </c>
      <c r="D29" s="108" t="s">
        <v>28</v>
      </c>
      <c r="E29" s="50">
        <v>12</v>
      </c>
      <c r="F29" s="48">
        <f t="shared" si="0"/>
        <v>192</v>
      </c>
      <c r="G29" s="54">
        <f t="shared" si="1"/>
        <v>3.5555555555555554</v>
      </c>
      <c r="H29" s="55">
        <v>8</v>
      </c>
      <c r="I29" s="49" t="s">
        <v>28</v>
      </c>
      <c r="J29" s="50">
        <v>12</v>
      </c>
      <c r="K29" s="48">
        <f aca="true" t="shared" si="2" ref="K29:K34">H29*J29</f>
        <v>96</v>
      </c>
      <c r="L29" s="54">
        <f>K29/$C$9</f>
        <v>1.7777777777777777</v>
      </c>
      <c r="M29" s="55">
        <v>8</v>
      </c>
      <c r="N29" s="108" t="s">
        <v>28</v>
      </c>
      <c r="O29" s="50">
        <v>12</v>
      </c>
      <c r="P29" s="48">
        <f aca="true" t="shared" si="3" ref="P29:P34">M29*O29</f>
        <v>96</v>
      </c>
      <c r="Q29" s="54">
        <f>P29/$C$9</f>
        <v>1.7777777777777777</v>
      </c>
    </row>
    <row r="30" spans="2:17" ht="15">
      <c r="B30" s="30" t="s">
        <v>37</v>
      </c>
      <c r="C30" s="55">
        <v>3</v>
      </c>
      <c r="D30" s="108" t="s">
        <v>28</v>
      </c>
      <c r="E30" s="50">
        <v>12</v>
      </c>
      <c r="F30" s="48">
        <f t="shared" si="0"/>
        <v>36</v>
      </c>
      <c r="G30" s="54">
        <f t="shared" si="1"/>
        <v>0.6666666666666666</v>
      </c>
      <c r="H30" s="55">
        <v>3</v>
      </c>
      <c r="I30" s="49" t="s">
        <v>28</v>
      </c>
      <c r="J30" s="50">
        <v>12</v>
      </c>
      <c r="K30" s="48">
        <f t="shared" si="2"/>
        <v>36</v>
      </c>
      <c r="L30" s="54">
        <f>K30/$C$9</f>
        <v>0.6666666666666666</v>
      </c>
      <c r="M30" s="55">
        <v>3</v>
      </c>
      <c r="N30" s="108" t="s">
        <v>28</v>
      </c>
      <c r="O30" s="50">
        <v>12</v>
      </c>
      <c r="P30" s="48">
        <f t="shared" si="3"/>
        <v>36</v>
      </c>
      <c r="Q30" s="54">
        <f>P30/$C$9</f>
        <v>0.6666666666666666</v>
      </c>
    </row>
    <row r="31" spans="2:17" ht="15">
      <c r="B31" s="30" t="s">
        <v>38</v>
      </c>
      <c r="C31" s="55">
        <v>20</v>
      </c>
      <c r="D31" s="108" t="s">
        <v>28</v>
      </c>
      <c r="E31" s="50">
        <v>12</v>
      </c>
      <c r="F31" s="48">
        <f t="shared" si="0"/>
        <v>240</v>
      </c>
      <c r="G31" s="54">
        <f t="shared" si="1"/>
        <v>4.444444444444445</v>
      </c>
      <c r="H31" s="55">
        <v>12</v>
      </c>
      <c r="I31" s="49" t="s">
        <v>28</v>
      </c>
      <c r="J31" s="50">
        <v>12</v>
      </c>
      <c r="K31" s="48">
        <f t="shared" si="2"/>
        <v>144</v>
      </c>
      <c r="L31" s="54">
        <f>K31/$C$9</f>
        <v>2.6666666666666665</v>
      </c>
      <c r="M31" s="55">
        <v>12</v>
      </c>
      <c r="N31" s="108" t="s">
        <v>28</v>
      </c>
      <c r="O31" s="50">
        <v>12</v>
      </c>
      <c r="P31" s="48">
        <f t="shared" si="3"/>
        <v>144</v>
      </c>
      <c r="Q31" s="54">
        <f>P31/$C$9</f>
        <v>2.6666666666666665</v>
      </c>
    </row>
    <row r="32" spans="2:17" ht="15">
      <c r="B32" s="30" t="s">
        <v>41</v>
      </c>
      <c r="C32" s="55">
        <v>12</v>
      </c>
      <c r="D32" s="108" t="s">
        <v>28</v>
      </c>
      <c r="E32" s="50">
        <v>12</v>
      </c>
      <c r="F32" s="48">
        <f t="shared" si="0"/>
        <v>144</v>
      </c>
      <c r="G32" s="54">
        <f t="shared" si="1"/>
        <v>2.6666666666666665</v>
      </c>
      <c r="H32" s="55"/>
      <c r="I32" s="49"/>
      <c r="J32" s="50"/>
      <c r="K32" s="48"/>
      <c r="L32" s="54"/>
      <c r="M32" s="55"/>
      <c r="N32" s="108"/>
      <c r="O32" s="50"/>
      <c r="P32" s="48"/>
      <c r="Q32" s="54"/>
    </row>
    <row r="33" spans="2:17" ht="15">
      <c r="B33" s="26" t="s">
        <v>29</v>
      </c>
      <c r="C33" s="55">
        <v>4</v>
      </c>
      <c r="D33" s="108" t="s">
        <v>28</v>
      </c>
      <c r="E33" s="50">
        <v>12</v>
      </c>
      <c r="F33" s="48">
        <f t="shared" si="0"/>
        <v>48</v>
      </c>
      <c r="G33" s="54">
        <f t="shared" si="1"/>
        <v>0.8888888888888888</v>
      </c>
      <c r="H33" s="55">
        <v>4</v>
      </c>
      <c r="I33" s="49" t="s">
        <v>28</v>
      </c>
      <c r="J33" s="50">
        <v>12</v>
      </c>
      <c r="K33" s="48">
        <f t="shared" si="2"/>
        <v>48</v>
      </c>
      <c r="L33" s="54">
        <f>K33/$C$9</f>
        <v>0.8888888888888888</v>
      </c>
      <c r="M33" s="55">
        <v>4</v>
      </c>
      <c r="N33" s="108" t="s">
        <v>28</v>
      </c>
      <c r="O33" s="50">
        <v>12</v>
      </c>
      <c r="P33" s="48">
        <f t="shared" si="3"/>
        <v>48</v>
      </c>
      <c r="Q33" s="54">
        <f>P33/$C$9</f>
        <v>0.8888888888888888</v>
      </c>
    </row>
    <row r="34" spans="2:17" ht="15">
      <c r="B34" s="31" t="s">
        <v>30</v>
      </c>
      <c r="C34" s="55"/>
      <c r="D34" s="108"/>
      <c r="E34" s="50"/>
      <c r="F34" s="48"/>
      <c r="G34" s="54"/>
      <c r="H34" s="55">
        <v>21</v>
      </c>
      <c r="I34" s="49" t="s">
        <v>28</v>
      </c>
      <c r="J34" s="50">
        <v>12</v>
      </c>
      <c r="K34" s="48">
        <f t="shared" si="2"/>
        <v>252</v>
      </c>
      <c r="L34" s="54">
        <f>K34/$C$9</f>
        <v>4.666666666666667</v>
      </c>
      <c r="M34" s="55">
        <v>70</v>
      </c>
      <c r="N34" s="108" t="s">
        <v>28</v>
      </c>
      <c r="O34" s="50">
        <v>12</v>
      </c>
      <c r="P34" s="48">
        <f t="shared" si="3"/>
        <v>840</v>
      </c>
      <c r="Q34" s="54">
        <f>P34/$C$9</f>
        <v>15.555555555555555</v>
      </c>
    </row>
    <row r="35" spans="2:17" ht="15">
      <c r="B35" s="33" t="s">
        <v>71</v>
      </c>
      <c r="C35" s="53"/>
      <c r="D35" s="109"/>
      <c r="E35" s="48"/>
      <c r="F35" s="48"/>
      <c r="G35" s="54"/>
      <c r="H35" s="53"/>
      <c r="I35" s="51"/>
      <c r="J35" s="48"/>
      <c r="K35" s="48"/>
      <c r="L35" s="54"/>
      <c r="M35" s="53"/>
      <c r="N35" s="51"/>
      <c r="O35" s="48"/>
      <c r="P35" s="48"/>
      <c r="Q35" s="54"/>
    </row>
    <row r="36" spans="2:17" ht="15">
      <c r="B36" s="26" t="s">
        <v>72</v>
      </c>
      <c r="C36" s="55">
        <v>3</v>
      </c>
      <c r="D36" s="108" t="s">
        <v>28</v>
      </c>
      <c r="E36" s="50">
        <v>5.2</v>
      </c>
      <c r="F36" s="48">
        <f>C36*E36</f>
        <v>15.600000000000001</v>
      </c>
      <c r="G36" s="54">
        <f>F36/$C$9</f>
        <v>0.2888888888888889</v>
      </c>
      <c r="H36" s="53"/>
      <c r="I36" s="49"/>
      <c r="J36" s="50"/>
      <c r="K36" s="48"/>
      <c r="L36" s="54"/>
      <c r="M36" s="53"/>
      <c r="N36" s="49"/>
      <c r="O36" s="50"/>
      <c r="P36" s="48"/>
      <c r="Q36" s="54"/>
    </row>
    <row r="37" spans="2:17" ht="15">
      <c r="B37" s="31" t="s">
        <v>49</v>
      </c>
      <c r="C37" s="53"/>
      <c r="D37" s="51"/>
      <c r="E37" s="48"/>
      <c r="F37" s="48">
        <f>'Rhubarb_Fixed Cost'!J51</f>
        <v>176.66666666666666</v>
      </c>
      <c r="G37" s="54">
        <f>F37/$C$9</f>
        <v>3.271604938271605</v>
      </c>
      <c r="H37" s="53"/>
      <c r="I37" s="51"/>
      <c r="J37" s="48"/>
      <c r="K37" s="48">
        <f>'Rhubarb_Fixed Cost'!J51</f>
        <v>176.66666666666666</v>
      </c>
      <c r="L37" s="54">
        <f>K37/$C$9</f>
        <v>3.271604938271605</v>
      </c>
      <c r="M37" s="53"/>
      <c r="N37" s="51"/>
      <c r="O37" s="48"/>
      <c r="P37" s="48">
        <f>'Rhubarb_Fixed Cost'!J51</f>
        <v>176.66666666666666</v>
      </c>
      <c r="Q37" s="54">
        <f>P37/$C$9</f>
        <v>3.271604938271605</v>
      </c>
    </row>
    <row r="38" spans="2:17" ht="15">
      <c r="B38" s="26" t="s">
        <v>50</v>
      </c>
      <c r="C38" s="56"/>
      <c r="D38" s="49"/>
      <c r="E38" s="50"/>
      <c r="F38" s="50">
        <f>SUM((F19:F37))*C10</f>
        <v>320.7633333333334</v>
      </c>
      <c r="G38" s="54">
        <f>F38/$C$9</f>
        <v>5.9400617283950625</v>
      </c>
      <c r="H38" s="56"/>
      <c r="I38" s="49"/>
      <c r="J38" s="50"/>
      <c r="K38" s="50">
        <f>SUM((K19:K37))*C10</f>
        <v>71.13333333333334</v>
      </c>
      <c r="L38" s="54">
        <f>K38/$C$9</f>
        <v>1.317283950617284</v>
      </c>
      <c r="M38" s="56"/>
      <c r="N38" s="49"/>
      <c r="O38" s="50"/>
      <c r="P38" s="50">
        <f>SUM((P19:P37))*C10</f>
        <v>100.53333333333335</v>
      </c>
      <c r="Q38" s="54">
        <f>P38/$C$9</f>
        <v>1.8617283950617287</v>
      </c>
    </row>
    <row r="39" spans="2:17" ht="15">
      <c r="B39" s="28" t="s">
        <v>31</v>
      </c>
      <c r="C39" s="53"/>
      <c r="D39" s="52"/>
      <c r="E39" s="48"/>
      <c r="F39" s="48"/>
      <c r="G39" s="54"/>
      <c r="H39" s="53"/>
      <c r="I39" s="52"/>
      <c r="J39" s="48"/>
      <c r="K39" s="48">
        <f>0.02*K14</f>
        <v>63</v>
      </c>
      <c r="L39" s="54">
        <f>K39/$C$9</f>
        <v>1.1666666666666667</v>
      </c>
      <c r="M39" s="53"/>
      <c r="N39" s="52"/>
      <c r="O39" s="48"/>
      <c r="P39" s="48">
        <f>0.02*P14</f>
        <v>210</v>
      </c>
      <c r="Q39" s="54">
        <f>P39/$C$9</f>
        <v>3.888888888888889</v>
      </c>
    </row>
    <row r="40" spans="2:17" s="14" customFormat="1" ht="15.75" thickBot="1">
      <c r="B40" s="32" t="s">
        <v>51</v>
      </c>
      <c r="C40" s="57"/>
      <c r="D40" s="58"/>
      <c r="E40" s="59"/>
      <c r="F40" s="59">
        <f>SUM(F19:F39)</f>
        <v>6736.030000000001</v>
      </c>
      <c r="G40" s="59">
        <f>SUM(G19:G39)</f>
        <v>124.7412962962963</v>
      </c>
      <c r="H40" s="57"/>
      <c r="I40" s="58"/>
      <c r="J40" s="59"/>
      <c r="K40" s="59">
        <f>SUM(K19:K39)</f>
        <v>1556.8000000000002</v>
      </c>
      <c r="L40" s="59">
        <f>SUM(L19:L39)</f>
        <v>28.829629629629633</v>
      </c>
      <c r="M40" s="57"/>
      <c r="N40" s="58"/>
      <c r="O40" s="59"/>
      <c r="P40" s="59">
        <f>SUM(P19:P39)</f>
        <v>2321.2000000000003</v>
      </c>
      <c r="Q40" s="60">
        <f>SUM(Q19:Q39)</f>
        <v>42.98518518518519</v>
      </c>
    </row>
    <row r="41" spans="2:17" s="14" customFormat="1" ht="15.75" thickBot="1">
      <c r="B41" s="15"/>
      <c r="C41" s="23"/>
      <c r="D41" s="24"/>
      <c r="E41" s="24"/>
      <c r="F41" s="24"/>
      <c r="G41" s="24"/>
      <c r="H41" s="23"/>
      <c r="I41" s="24"/>
      <c r="J41" s="24"/>
      <c r="K41" s="24"/>
      <c r="L41" s="24"/>
      <c r="M41" s="23"/>
      <c r="N41" s="24"/>
      <c r="O41" s="24"/>
      <c r="P41" s="24"/>
      <c r="Q41" s="24"/>
    </row>
    <row r="42" spans="2:17" ht="15">
      <c r="B42" s="69" t="s">
        <v>84</v>
      </c>
      <c r="C42" s="74"/>
      <c r="D42" s="75"/>
      <c r="E42" s="75"/>
      <c r="F42" s="76" t="s">
        <v>81</v>
      </c>
      <c r="G42" s="77" t="s">
        <v>82</v>
      </c>
      <c r="H42" s="74"/>
      <c r="I42" s="75"/>
      <c r="J42" s="75"/>
      <c r="K42" s="76" t="s">
        <v>81</v>
      </c>
      <c r="L42" s="77" t="s">
        <v>82</v>
      </c>
      <c r="M42" s="74"/>
      <c r="N42" s="75"/>
      <c r="O42" s="75"/>
      <c r="P42" s="76" t="s">
        <v>81</v>
      </c>
      <c r="Q42" s="77" t="s">
        <v>82</v>
      </c>
    </row>
    <row r="43" spans="2:17" ht="15">
      <c r="B43" s="25" t="s">
        <v>32</v>
      </c>
      <c r="C43" s="61"/>
      <c r="D43" s="49"/>
      <c r="E43" s="49"/>
      <c r="F43" s="48"/>
      <c r="G43" s="54"/>
      <c r="H43" s="61"/>
      <c r="I43" s="49"/>
      <c r="J43" s="49"/>
      <c r="K43" s="48"/>
      <c r="L43" s="54"/>
      <c r="M43" s="61"/>
      <c r="N43" s="49"/>
      <c r="O43" s="49"/>
      <c r="P43" s="48"/>
      <c r="Q43" s="54"/>
    </row>
    <row r="44" spans="2:17" ht="15">
      <c r="B44" s="25" t="s">
        <v>2</v>
      </c>
      <c r="C44" s="61"/>
      <c r="D44" s="49"/>
      <c r="E44" s="49"/>
      <c r="F44" s="48"/>
      <c r="G44" s="54"/>
      <c r="H44" s="61"/>
      <c r="I44" s="49"/>
      <c r="J44" s="49"/>
      <c r="K44" s="48"/>
      <c r="L44" s="54"/>
      <c r="M44" s="61"/>
      <c r="N44" s="49"/>
      <c r="O44" s="49"/>
      <c r="P44" s="48"/>
      <c r="Q44" s="54"/>
    </row>
    <row r="45" spans="2:17" ht="15">
      <c r="B45" s="47" t="str">
        <f>'Rhubarb_Fixed Cost'!B14</f>
        <v>Tractor  </v>
      </c>
      <c r="C45" s="61"/>
      <c r="D45" s="51"/>
      <c r="E45" s="52"/>
      <c r="F45" s="48">
        <f>'Rhubarb_Fixed Cost'!J14</f>
        <v>43.333333333333336</v>
      </c>
      <c r="G45" s="54">
        <f>F45/$C$9</f>
        <v>0.8024691358024691</v>
      </c>
      <c r="H45" s="61"/>
      <c r="I45" s="51"/>
      <c r="J45" s="52"/>
      <c r="K45" s="48">
        <f>'Rhubarb_Fixed Cost'!J14</f>
        <v>43.333333333333336</v>
      </c>
      <c r="L45" s="54">
        <f>K45/$C$9</f>
        <v>0.8024691358024691</v>
      </c>
      <c r="M45" s="61"/>
      <c r="N45" s="51"/>
      <c r="O45" s="52"/>
      <c r="P45" s="48">
        <f>'Rhubarb_Fixed Cost'!J14</f>
        <v>43.333333333333336</v>
      </c>
      <c r="Q45" s="54">
        <f>P45/$C$9</f>
        <v>0.8024691358024691</v>
      </c>
    </row>
    <row r="46" spans="2:17" ht="15">
      <c r="B46" s="47" t="str">
        <f>'Rhubarb_Fixed Cost'!B15</f>
        <v>Rotto tiller </v>
      </c>
      <c r="C46" s="61"/>
      <c r="D46" s="51"/>
      <c r="E46" s="52"/>
      <c r="F46" s="48">
        <f>'Rhubarb_Fixed Cost'!J15</f>
        <v>6.666666666666667</v>
      </c>
      <c r="G46" s="54">
        <f aca="true" t="shared" si="4" ref="G46:G52">F46/$C$9</f>
        <v>0.1234567901234568</v>
      </c>
      <c r="H46" s="61"/>
      <c r="I46" s="51"/>
      <c r="J46" s="52"/>
      <c r="K46" s="48">
        <f>'Rhubarb_Fixed Cost'!J15</f>
        <v>6.666666666666667</v>
      </c>
      <c r="L46" s="54">
        <f aca="true" t="shared" si="5" ref="L46:L52">K46/$C$9</f>
        <v>0.1234567901234568</v>
      </c>
      <c r="M46" s="61"/>
      <c r="N46" s="51"/>
      <c r="O46" s="52"/>
      <c r="P46" s="48">
        <f>'Rhubarb_Fixed Cost'!J15</f>
        <v>6.666666666666667</v>
      </c>
      <c r="Q46" s="54">
        <f aca="true" t="shared" si="6" ref="Q46:Q52">P46/$C$9</f>
        <v>0.1234567901234568</v>
      </c>
    </row>
    <row r="47" spans="2:17" ht="15">
      <c r="B47" s="47" t="str">
        <f>'Rhubarb_Fixed Cost'!B16</f>
        <v>Cultivator</v>
      </c>
      <c r="C47" s="61"/>
      <c r="D47" s="51"/>
      <c r="E47" s="52"/>
      <c r="F47" s="48">
        <f>'Rhubarb_Fixed Cost'!J16</f>
        <v>31.166666666666668</v>
      </c>
      <c r="G47" s="54">
        <f t="shared" si="4"/>
        <v>0.5771604938271605</v>
      </c>
      <c r="H47" s="61"/>
      <c r="I47" s="51"/>
      <c r="J47" s="52"/>
      <c r="K47" s="48">
        <f>'Rhubarb_Fixed Cost'!J16</f>
        <v>31.166666666666668</v>
      </c>
      <c r="L47" s="54">
        <f t="shared" si="5"/>
        <v>0.5771604938271605</v>
      </c>
      <c r="M47" s="61"/>
      <c r="N47" s="51"/>
      <c r="O47" s="52"/>
      <c r="P47" s="48">
        <f>'Rhubarb_Fixed Cost'!J16</f>
        <v>31.166666666666668</v>
      </c>
      <c r="Q47" s="54">
        <f t="shared" si="6"/>
        <v>0.5771604938271605</v>
      </c>
    </row>
    <row r="48" spans="2:17" ht="15">
      <c r="B48" s="47" t="str">
        <f>'Rhubarb_Fixed Cost'!B17</f>
        <v>Plow</v>
      </c>
      <c r="C48" s="61"/>
      <c r="D48" s="51"/>
      <c r="E48" s="52"/>
      <c r="F48" s="48">
        <f>'Rhubarb_Fixed Cost'!J17</f>
        <v>2.0833333333333335</v>
      </c>
      <c r="G48" s="54">
        <f t="shared" si="4"/>
        <v>0.03858024691358025</v>
      </c>
      <c r="H48" s="61"/>
      <c r="I48" s="51"/>
      <c r="J48" s="52"/>
      <c r="K48" s="48">
        <f>'Rhubarb_Fixed Cost'!J17</f>
        <v>2.0833333333333335</v>
      </c>
      <c r="L48" s="54">
        <f t="shared" si="5"/>
        <v>0.03858024691358025</v>
      </c>
      <c r="M48" s="61"/>
      <c r="N48" s="51"/>
      <c r="O48" s="52"/>
      <c r="P48" s="48">
        <f>'Rhubarb_Fixed Cost'!J17</f>
        <v>2.0833333333333335</v>
      </c>
      <c r="Q48" s="54">
        <f t="shared" si="6"/>
        <v>0.03858024691358025</v>
      </c>
    </row>
    <row r="49" spans="2:17" ht="15">
      <c r="B49" s="47" t="str">
        <f>'Rhubarb_Fixed Cost'!B18</f>
        <v>Pick up truck</v>
      </c>
      <c r="C49" s="61"/>
      <c r="D49" s="51"/>
      <c r="E49" s="52"/>
      <c r="F49" s="48">
        <f>'Rhubarb_Fixed Cost'!J18</f>
        <v>175</v>
      </c>
      <c r="G49" s="54">
        <f t="shared" si="4"/>
        <v>3.240740740740741</v>
      </c>
      <c r="H49" s="61"/>
      <c r="I49" s="51"/>
      <c r="J49" s="52"/>
      <c r="K49" s="48">
        <f>'Rhubarb_Fixed Cost'!J18</f>
        <v>175</v>
      </c>
      <c r="L49" s="54">
        <f t="shared" si="5"/>
        <v>3.240740740740741</v>
      </c>
      <c r="M49" s="61"/>
      <c r="N49" s="51"/>
      <c r="O49" s="52"/>
      <c r="P49" s="48">
        <f>'Rhubarb_Fixed Cost'!J18</f>
        <v>175</v>
      </c>
      <c r="Q49" s="54">
        <f t="shared" si="6"/>
        <v>3.240740740740741</v>
      </c>
    </row>
    <row r="50" spans="2:17" ht="15">
      <c r="B50" s="25" t="s">
        <v>108</v>
      </c>
      <c r="C50" s="61"/>
      <c r="D50" s="51"/>
      <c r="E50" s="52"/>
      <c r="F50" s="48">
        <f>'Rhubarb_Fixed Cost'!J28</f>
        <v>31.2</v>
      </c>
      <c r="G50" s="54">
        <f t="shared" si="4"/>
        <v>0.5777777777777777</v>
      </c>
      <c r="H50" s="61"/>
      <c r="I50" s="51"/>
      <c r="J50" s="52"/>
      <c r="K50" s="48">
        <f>'Rhubarb_Fixed Cost'!J28</f>
        <v>31.2</v>
      </c>
      <c r="L50" s="54">
        <f t="shared" si="5"/>
        <v>0.5777777777777777</v>
      </c>
      <c r="M50" s="61"/>
      <c r="N50" s="51"/>
      <c r="O50" s="52"/>
      <c r="P50" s="48">
        <f>'Rhubarb_Fixed Cost'!J28</f>
        <v>31.2</v>
      </c>
      <c r="Q50" s="54">
        <f t="shared" si="6"/>
        <v>0.5777777777777777</v>
      </c>
    </row>
    <row r="51" spans="2:17" ht="15">
      <c r="B51" s="25" t="s">
        <v>39</v>
      </c>
      <c r="C51" s="61"/>
      <c r="D51" s="51"/>
      <c r="E51" s="52"/>
      <c r="F51" s="48">
        <f>'Rhubarb_Fixed Cost'!J38</f>
        <v>287.5</v>
      </c>
      <c r="G51" s="54">
        <f t="shared" si="4"/>
        <v>5.324074074074074</v>
      </c>
      <c r="H51" s="61"/>
      <c r="I51" s="51"/>
      <c r="J51" s="52"/>
      <c r="K51" s="48">
        <f>'Rhubarb_Fixed Cost'!J38</f>
        <v>287.5</v>
      </c>
      <c r="L51" s="54">
        <f t="shared" si="5"/>
        <v>5.324074074074074</v>
      </c>
      <c r="M51" s="61"/>
      <c r="N51" s="51"/>
      <c r="O51" s="52"/>
      <c r="P51" s="48">
        <f>'Rhubarb_Fixed Cost'!J38</f>
        <v>287.5</v>
      </c>
      <c r="Q51" s="54">
        <f t="shared" si="6"/>
        <v>5.324074074074074</v>
      </c>
    </row>
    <row r="52" spans="2:17" ht="15">
      <c r="B52" s="25" t="s">
        <v>33</v>
      </c>
      <c r="C52" s="61"/>
      <c r="D52" s="51"/>
      <c r="E52" s="52"/>
      <c r="F52" s="48">
        <f>'Rhubarb_Fixed Cost'!J33</f>
        <v>250.83333333333334</v>
      </c>
      <c r="G52" s="54">
        <f t="shared" si="4"/>
        <v>4.645061728395062</v>
      </c>
      <c r="H52" s="61"/>
      <c r="I52" s="51"/>
      <c r="J52" s="52"/>
      <c r="K52" s="48">
        <f>'Rhubarb_Fixed Cost'!J33</f>
        <v>250.83333333333334</v>
      </c>
      <c r="L52" s="54">
        <f t="shared" si="5"/>
        <v>4.645061728395062</v>
      </c>
      <c r="M52" s="61"/>
      <c r="N52" s="51"/>
      <c r="O52" s="52"/>
      <c r="P52" s="48">
        <f>'Rhubarb_Fixed Cost'!J33</f>
        <v>250.83333333333334</v>
      </c>
      <c r="Q52" s="54">
        <f t="shared" si="6"/>
        <v>4.645061728395062</v>
      </c>
    </row>
    <row r="53" spans="2:17" ht="15">
      <c r="B53" s="33" t="s">
        <v>109</v>
      </c>
      <c r="C53" s="61"/>
      <c r="D53" s="51"/>
      <c r="E53" s="52"/>
      <c r="F53" s="48"/>
      <c r="G53" s="54"/>
      <c r="H53" s="61"/>
      <c r="I53" s="51"/>
      <c r="J53" s="52"/>
      <c r="K53" s="48"/>
      <c r="L53" s="54"/>
      <c r="M53" s="61"/>
      <c r="N53" s="51"/>
      <c r="O53" s="52"/>
      <c r="P53" s="48"/>
      <c r="Q53" s="54"/>
    </row>
    <row r="54" spans="2:17" ht="15">
      <c r="B54" s="46" t="str">
        <f>'Rhubarb_Fixed Cost'!B41</f>
        <v>Land lease</v>
      </c>
      <c r="C54" s="61"/>
      <c r="D54" s="51"/>
      <c r="E54" s="52"/>
      <c r="F54" s="48">
        <f>'Rhubarb_Fixed Cost'!J41</f>
        <v>210</v>
      </c>
      <c r="G54" s="54">
        <f>F54/$C$9</f>
        <v>3.888888888888889</v>
      </c>
      <c r="H54" s="61"/>
      <c r="I54" s="51"/>
      <c r="J54" s="52"/>
      <c r="K54" s="48">
        <f>'Rhubarb_Fixed Cost'!J41</f>
        <v>210</v>
      </c>
      <c r="L54" s="54">
        <f>K54/$C$9</f>
        <v>3.888888888888889</v>
      </c>
      <c r="M54" s="61"/>
      <c r="N54" s="51"/>
      <c r="O54" s="52"/>
      <c r="P54" s="48">
        <f>'Rhubarb_Fixed Cost'!J41</f>
        <v>210</v>
      </c>
      <c r="Q54" s="54">
        <f>P54/$C$9</f>
        <v>3.888888888888889</v>
      </c>
    </row>
    <row r="55" spans="2:17" ht="15">
      <c r="B55" s="46" t="str">
        <f>'Rhubarb_Fixed Cost'!B42</f>
        <v>Soil test</v>
      </c>
      <c r="C55" s="61"/>
      <c r="D55" s="51"/>
      <c r="E55" s="52"/>
      <c r="F55" s="48">
        <f>'Rhubarb_Fixed Cost'!J42</f>
        <v>7</v>
      </c>
      <c r="G55" s="54">
        <f aca="true" t="shared" si="7" ref="G55:G61">F55/$C$9</f>
        <v>0.12962962962962962</v>
      </c>
      <c r="H55" s="61"/>
      <c r="I55" s="51"/>
      <c r="J55" s="52"/>
      <c r="K55" s="48">
        <f>'Rhubarb_Fixed Cost'!J42</f>
        <v>7</v>
      </c>
      <c r="L55" s="54">
        <f aca="true" t="shared" si="8" ref="L55:L61">K55/$C$9</f>
        <v>0.12962962962962962</v>
      </c>
      <c r="M55" s="61"/>
      <c r="N55" s="51"/>
      <c r="O55" s="52"/>
      <c r="P55" s="48">
        <f>'Rhubarb_Fixed Cost'!J42</f>
        <v>7</v>
      </c>
      <c r="Q55" s="54">
        <f aca="true" t="shared" si="9" ref="Q55:Q61">P55/$C$9</f>
        <v>0.12962962962962962</v>
      </c>
    </row>
    <row r="56" spans="2:17" ht="15">
      <c r="B56" s="46" t="str">
        <f>'Rhubarb_Fixed Cost'!B43</f>
        <v>Liability insurance</v>
      </c>
      <c r="C56" s="61"/>
      <c r="D56" s="51"/>
      <c r="E56" s="52"/>
      <c r="F56" s="48">
        <f>'Rhubarb_Fixed Cost'!J43</f>
        <v>58.8</v>
      </c>
      <c r="G56" s="54">
        <f t="shared" si="7"/>
        <v>1.0888888888888888</v>
      </c>
      <c r="H56" s="61"/>
      <c r="I56" s="51"/>
      <c r="J56" s="52"/>
      <c r="K56" s="48">
        <f>'Rhubarb_Fixed Cost'!J43</f>
        <v>58.8</v>
      </c>
      <c r="L56" s="54">
        <f t="shared" si="8"/>
        <v>1.0888888888888888</v>
      </c>
      <c r="M56" s="61"/>
      <c r="N56" s="51"/>
      <c r="O56" s="52"/>
      <c r="P56" s="48">
        <f>'Rhubarb_Fixed Cost'!J43</f>
        <v>58.8</v>
      </c>
      <c r="Q56" s="54">
        <f t="shared" si="9"/>
        <v>1.0888888888888888</v>
      </c>
    </row>
    <row r="57" spans="2:17" ht="15">
      <c r="B57" s="46" t="str">
        <f>'Rhubarb_Fixed Cost'!B44</f>
        <v>Vehicle insurance</v>
      </c>
      <c r="C57" s="61"/>
      <c r="D57" s="51"/>
      <c r="E57" s="52"/>
      <c r="F57" s="48">
        <f>'Rhubarb_Fixed Cost'!J44</f>
        <v>84</v>
      </c>
      <c r="G57" s="54">
        <f t="shared" si="7"/>
        <v>1.5555555555555556</v>
      </c>
      <c r="H57" s="61"/>
      <c r="I57" s="51"/>
      <c r="J57" s="52"/>
      <c r="K57" s="48">
        <f>'Rhubarb_Fixed Cost'!J44</f>
        <v>84</v>
      </c>
      <c r="L57" s="54">
        <f t="shared" si="8"/>
        <v>1.5555555555555556</v>
      </c>
      <c r="M57" s="61"/>
      <c r="N57" s="51"/>
      <c r="O57" s="52"/>
      <c r="P57" s="48">
        <f>'Rhubarb_Fixed Cost'!J44</f>
        <v>84</v>
      </c>
      <c r="Q57" s="54">
        <f t="shared" si="9"/>
        <v>1.5555555555555556</v>
      </c>
    </row>
    <row r="58" spans="2:17" ht="15">
      <c r="B58" s="46" t="str">
        <f>'Rhubarb_Fixed Cost'!B45</f>
        <v>Electricity</v>
      </c>
      <c r="C58" s="61"/>
      <c r="D58" s="51"/>
      <c r="E58" s="52"/>
      <c r="F58" s="48">
        <f>'Rhubarb_Fixed Cost'!J45</f>
        <v>33.6</v>
      </c>
      <c r="G58" s="54">
        <f t="shared" si="7"/>
        <v>0.6222222222222222</v>
      </c>
      <c r="H58" s="61"/>
      <c r="I58" s="51"/>
      <c r="J58" s="52"/>
      <c r="K58" s="48">
        <f>'Rhubarb_Fixed Cost'!J45</f>
        <v>33.6</v>
      </c>
      <c r="L58" s="54">
        <f t="shared" si="8"/>
        <v>0.6222222222222222</v>
      </c>
      <c r="M58" s="61"/>
      <c r="N58" s="51"/>
      <c r="O58" s="52"/>
      <c r="P58" s="48">
        <f>'Rhubarb_Fixed Cost'!J45</f>
        <v>33.6</v>
      </c>
      <c r="Q58" s="54">
        <f t="shared" si="9"/>
        <v>0.6222222222222222</v>
      </c>
    </row>
    <row r="59" spans="2:17" ht="15">
      <c r="B59" s="46" t="str">
        <f>'Rhubarb_Fixed Cost'!B46</f>
        <v>Water </v>
      </c>
      <c r="C59" s="61"/>
      <c r="D59" s="51"/>
      <c r="E59" s="52"/>
      <c r="F59" s="48">
        <f>'Rhubarb_Fixed Cost'!J46</f>
        <v>3.5</v>
      </c>
      <c r="G59" s="54">
        <f t="shared" si="7"/>
        <v>0.06481481481481481</v>
      </c>
      <c r="H59" s="61"/>
      <c r="I59" s="51"/>
      <c r="J59" s="52"/>
      <c r="K59" s="48">
        <f>'Rhubarb_Fixed Cost'!J46</f>
        <v>3.5</v>
      </c>
      <c r="L59" s="54">
        <f t="shared" si="8"/>
        <v>0.06481481481481481</v>
      </c>
      <c r="M59" s="61"/>
      <c r="N59" s="51"/>
      <c r="O59" s="52"/>
      <c r="P59" s="48">
        <f>'Rhubarb_Fixed Cost'!J46</f>
        <v>3.5</v>
      </c>
      <c r="Q59" s="54">
        <f t="shared" si="9"/>
        <v>0.06481481481481481</v>
      </c>
    </row>
    <row r="60" spans="2:17" ht="15">
      <c r="B60" s="46" t="str">
        <f>'Rhubarb_Fixed Cost'!B47</f>
        <v>Internet and telephone</v>
      </c>
      <c r="C60" s="61"/>
      <c r="D60" s="51"/>
      <c r="E60" s="52"/>
      <c r="F60" s="48">
        <f>'Rhubarb_Fixed Cost'!J47</f>
        <v>70</v>
      </c>
      <c r="G60" s="54">
        <f>F60/$C$9</f>
        <v>1.2962962962962963</v>
      </c>
      <c r="H60" s="61"/>
      <c r="I60" s="51"/>
      <c r="J60" s="52"/>
      <c r="K60" s="48">
        <f>'Rhubarb_Fixed Cost'!J47</f>
        <v>70</v>
      </c>
      <c r="L60" s="54">
        <f t="shared" si="8"/>
        <v>1.2962962962962963</v>
      </c>
      <c r="M60" s="61"/>
      <c r="N60" s="51"/>
      <c r="O60" s="52"/>
      <c r="P60" s="48">
        <f>'Rhubarb_Fixed Cost'!J47</f>
        <v>70</v>
      </c>
      <c r="Q60" s="54">
        <f t="shared" si="9"/>
        <v>1.2962962962962963</v>
      </c>
    </row>
    <row r="61" spans="2:17" ht="15.75" thickBot="1">
      <c r="B61" s="46" t="str">
        <f>'Rhubarb_Fixed Cost'!B48</f>
        <v>Office supplies</v>
      </c>
      <c r="C61" s="126"/>
      <c r="D61" s="127"/>
      <c r="E61" s="128"/>
      <c r="F61" s="129">
        <f>'Rhubarb_Fixed Cost'!J48</f>
        <v>35</v>
      </c>
      <c r="G61" s="130">
        <f t="shared" si="7"/>
        <v>0.6481481481481481</v>
      </c>
      <c r="H61" s="126"/>
      <c r="I61" s="127"/>
      <c r="J61" s="128"/>
      <c r="K61" s="129">
        <f>'Rhubarb_Fixed Cost'!J48</f>
        <v>35</v>
      </c>
      <c r="L61" s="130">
        <f t="shared" si="8"/>
        <v>0.6481481481481481</v>
      </c>
      <c r="M61" s="126"/>
      <c r="N61" s="127"/>
      <c r="O61" s="128"/>
      <c r="P61" s="129">
        <f>'Rhubarb_Fixed Cost'!J48</f>
        <v>35</v>
      </c>
      <c r="Q61" s="130">
        <f t="shared" si="9"/>
        <v>0.6481481481481481</v>
      </c>
    </row>
    <row r="62" spans="2:17" ht="15.75" thickBot="1">
      <c r="B62" s="131" t="s">
        <v>34</v>
      </c>
      <c r="C62" s="132"/>
      <c r="D62" s="133"/>
      <c r="E62" s="133"/>
      <c r="F62" s="134">
        <f>SUM(F45:F61)</f>
        <v>1329.6833333333332</v>
      </c>
      <c r="G62" s="134">
        <f>SUM(G45:G61)</f>
        <v>24.623765432098768</v>
      </c>
      <c r="H62" s="132"/>
      <c r="I62" s="133"/>
      <c r="J62" s="133"/>
      <c r="K62" s="134">
        <f>SUM(K45:K61)</f>
        <v>1329.6833333333332</v>
      </c>
      <c r="L62" s="134">
        <f>SUM(L45:L61)</f>
        <v>24.623765432098768</v>
      </c>
      <c r="M62" s="132"/>
      <c r="N62" s="133"/>
      <c r="O62" s="133"/>
      <c r="P62" s="134">
        <f>SUM(P45:P61)</f>
        <v>1329.6833333333332</v>
      </c>
      <c r="Q62" s="135">
        <f>SUM(Q45:Q61)</f>
        <v>24.623765432098768</v>
      </c>
    </row>
    <row r="63" spans="2:17" ht="15.75" thickBot="1">
      <c r="B63" s="114" t="s">
        <v>115</v>
      </c>
      <c r="C63" s="115"/>
      <c r="D63" s="116"/>
      <c r="E63" s="116"/>
      <c r="F63" s="117">
        <f>SUM(F40,F62)</f>
        <v>8065.713333333334</v>
      </c>
      <c r="G63" s="117">
        <f>SUM(G40,G62)</f>
        <v>149.36506172839506</v>
      </c>
      <c r="H63" s="115"/>
      <c r="I63" s="116"/>
      <c r="J63" s="116"/>
      <c r="K63" s="117">
        <f>SUM(K40,K62)</f>
        <v>2886.4833333333336</v>
      </c>
      <c r="L63" s="117">
        <f>SUM(L40,L62)</f>
        <v>53.4533950617284</v>
      </c>
      <c r="M63" s="115"/>
      <c r="N63" s="116"/>
      <c r="O63" s="116"/>
      <c r="P63" s="117">
        <f>SUM(P40,P62)</f>
        <v>3650.883333333333</v>
      </c>
      <c r="Q63" s="117">
        <f>SUM(Q40,Q62)</f>
        <v>67.60895061728395</v>
      </c>
    </row>
    <row r="64" spans="3:17" ht="15.75" thickBot="1">
      <c r="C64" s="6"/>
      <c r="F64" s="7"/>
      <c r="G64" s="7"/>
      <c r="H64" s="6"/>
      <c r="K64" s="7"/>
      <c r="L64" s="7"/>
      <c r="M64" s="6"/>
      <c r="P64" s="7"/>
      <c r="Q64" s="7"/>
    </row>
    <row r="65" spans="2:17" ht="15">
      <c r="B65" s="69" t="s">
        <v>84</v>
      </c>
      <c r="C65" s="118"/>
      <c r="D65" s="119"/>
      <c r="E65" s="119"/>
      <c r="F65" s="76" t="s">
        <v>81</v>
      </c>
      <c r="G65" s="76" t="s">
        <v>82</v>
      </c>
      <c r="H65" s="118"/>
      <c r="I65" s="119"/>
      <c r="J65" s="119"/>
      <c r="K65" s="76" t="s">
        <v>81</v>
      </c>
      <c r="L65" s="76" t="s">
        <v>82</v>
      </c>
      <c r="M65" s="118"/>
      <c r="N65" s="119"/>
      <c r="O65" s="119"/>
      <c r="P65" s="76" t="s">
        <v>81</v>
      </c>
      <c r="Q65" s="77" t="s">
        <v>82</v>
      </c>
    </row>
    <row r="66" spans="2:17" ht="15">
      <c r="B66" s="139" t="s">
        <v>114</v>
      </c>
      <c r="C66" s="140"/>
      <c r="D66" s="141"/>
      <c r="E66" s="141"/>
      <c r="F66" s="142"/>
      <c r="G66" s="142"/>
      <c r="H66" s="140"/>
      <c r="I66" s="141"/>
      <c r="J66" s="141"/>
      <c r="K66" s="142"/>
      <c r="L66" s="142"/>
      <c r="M66" s="140"/>
      <c r="N66" s="141"/>
      <c r="O66" s="141"/>
      <c r="P66" s="142"/>
      <c r="Q66" s="143"/>
    </row>
    <row r="67" spans="2:17" ht="15">
      <c r="B67" s="25" t="s">
        <v>52</v>
      </c>
      <c r="C67" s="136"/>
      <c r="D67" s="136"/>
      <c r="E67" s="136"/>
      <c r="F67" s="137">
        <f>F14-F40</f>
        <v>-6736.030000000001</v>
      </c>
      <c r="G67" s="137">
        <f>G14-G40</f>
        <v>-124.7412962962963</v>
      </c>
      <c r="H67" s="136"/>
      <c r="I67" s="136"/>
      <c r="J67" s="136"/>
      <c r="K67" s="137">
        <f>K14-K40</f>
        <v>1593.1999999999998</v>
      </c>
      <c r="L67" s="137">
        <f>L14-L40</f>
        <v>29.503703703703703</v>
      </c>
      <c r="M67" s="136"/>
      <c r="N67" s="136"/>
      <c r="O67" s="136"/>
      <c r="P67" s="137">
        <f>P14-P40</f>
        <v>8178.799999999999</v>
      </c>
      <c r="Q67" s="138">
        <f>Q14-Q40</f>
        <v>151.45925925925928</v>
      </c>
    </row>
    <row r="68" spans="2:17" ht="15">
      <c r="B68" s="34" t="s">
        <v>53</v>
      </c>
      <c r="C68" s="120"/>
      <c r="D68" s="120"/>
      <c r="E68" s="120"/>
      <c r="F68" s="121">
        <f>F14-F62</f>
        <v>-1329.6833333333332</v>
      </c>
      <c r="G68" s="121">
        <f>G14-G62</f>
        <v>-24.623765432098768</v>
      </c>
      <c r="H68" s="120"/>
      <c r="I68" s="120"/>
      <c r="J68" s="120"/>
      <c r="K68" s="121">
        <f>K14-K62</f>
        <v>1820.3166666666668</v>
      </c>
      <c r="L68" s="121">
        <f>L14-L62</f>
        <v>33.709567901234564</v>
      </c>
      <c r="M68" s="120"/>
      <c r="N68" s="120"/>
      <c r="O68" s="120"/>
      <c r="P68" s="121">
        <f>P14-P62</f>
        <v>9170.316666666668</v>
      </c>
      <c r="Q68" s="122">
        <f>Q14-Q62</f>
        <v>169.8206790123457</v>
      </c>
    </row>
    <row r="69" spans="2:17" ht="15.75" thickBot="1">
      <c r="B69" s="35" t="s">
        <v>54</v>
      </c>
      <c r="C69" s="123"/>
      <c r="D69" s="123"/>
      <c r="E69" s="123"/>
      <c r="F69" s="124">
        <f>F14-F63</f>
        <v>-8065.713333333334</v>
      </c>
      <c r="G69" s="124">
        <f>G14-G63</f>
        <v>-149.36506172839506</v>
      </c>
      <c r="H69" s="123"/>
      <c r="I69" s="123"/>
      <c r="J69" s="123"/>
      <c r="K69" s="124">
        <f>K14-K63</f>
        <v>263.5166666666664</v>
      </c>
      <c r="L69" s="124">
        <f>L14-L63</f>
        <v>4.879938271604935</v>
      </c>
      <c r="M69" s="123"/>
      <c r="N69" s="123"/>
      <c r="O69" s="123"/>
      <c r="P69" s="124">
        <f>P14-P63</f>
        <v>6849.116666666667</v>
      </c>
      <c r="Q69" s="125">
        <f>Q14-Q63</f>
        <v>126.8354938271605</v>
      </c>
    </row>
    <row r="70" spans="6:7" ht="15">
      <c r="F70" s="45"/>
      <c r="G70" s="45"/>
    </row>
  </sheetData>
  <sheetProtection/>
  <mergeCells count="5">
    <mergeCell ref="B1:Q1"/>
    <mergeCell ref="B2:Q2"/>
    <mergeCell ref="C12:G12"/>
    <mergeCell ref="H12:L12"/>
    <mergeCell ref="M12:Q12"/>
  </mergeCells>
  <conditionalFormatting sqref="F67:G69">
    <cfRule type="cellIs" priority="10" dxfId="8" operator="greaterThan" stopIfTrue="1">
      <formula>0</formula>
    </cfRule>
    <cfRule type="cellIs" priority="11" dxfId="9" operator="lessThan" stopIfTrue="1">
      <formula>0</formula>
    </cfRule>
    <cfRule type="cellIs" priority="15" dxfId="9" operator="lessThan" stopIfTrue="1">
      <formula>0</formula>
    </cfRule>
  </conditionalFormatting>
  <conditionalFormatting sqref="K67:L69">
    <cfRule type="cellIs" priority="2" dxfId="9" operator="lessThan" stopIfTrue="1">
      <formula>0</formula>
    </cfRule>
    <cfRule type="cellIs" priority="3" dxfId="8" operator="greaterThan" stopIfTrue="1">
      <formula>0</formula>
    </cfRule>
    <cfRule type="cellIs" priority="4" dxfId="9" operator="lessThan" stopIfTrue="1">
      <formula>0</formula>
    </cfRule>
    <cfRule type="cellIs" priority="5" dxfId="9" operator="lessThan" stopIfTrue="1">
      <formula>0</formula>
    </cfRule>
    <cfRule type="cellIs" priority="6" dxfId="9" operator="lessThan" stopIfTrue="1">
      <formula>0</formula>
    </cfRule>
    <cfRule type="cellIs" priority="7" dxfId="9" operator="lessThan" stopIfTrue="1">
      <formula>0</formula>
    </cfRule>
    <cfRule type="cellIs" priority="8" dxfId="9" operator="lessThan" stopIfTrue="1">
      <formula>998.33</formula>
    </cfRule>
    <cfRule type="cellIs" priority="9" dxfId="9" operator="lessThan" stopIfTrue="1">
      <formula>0</formula>
    </cfRule>
    <cfRule type="cellIs" priority="13" dxfId="8" operator="greaterThan" stopIfTrue="1">
      <formula>0</formula>
    </cfRule>
    <cfRule type="cellIs" priority="14" dxfId="9" operator="greaterThan" stopIfTrue="1">
      <formula>998.33</formula>
    </cfRule>
  </conditionalFormatting>
  <conditionalFormatting sqref="P67:Q69">
    <cfRule type="cellIs" priority="1" dxfId="9" operator="lessThan" stopIfTrue="1">
      <formula>0</formula>
    </cfRule>
    <cfRule type="cellIs" priority="12" dxfId="8" operator="greaterThan" stopIfTrue="1">
      <formula>0</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2014-06-23T17:28:34Z</dcterms:created>
  <dcterms:modified xsi:type="dcterms:W3CDTF">2015-06-16T21:27:30Z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895129823</vt:i4>
  </property>
  <property fmtid="{D5CDD505-2E9C-101B-9397-08002B2CF9AE}" pid="3" name="_NewReviewCycle">
    <vt:lpwstr/>
  </property>
  <property fmtid="{D5CDD505-2E9C-101B-9397-08002B2CF9AE}" pid="4" name="_EmailSubject">
    <vt:lpwstr>Rhubarb EB</vt:lpwstr>
  </property>
  <property fmtid="{D5CDD505-2E9C-101B-9397-08002B2CF9AE}" pid="5" name="_AuthorEmail">
    <vt:lpwstr>Caroline.Chiu@kpu.ca</vt:lpwstr>
  </property>
  <property fmtid="{D5CDD505-2E9C-101B-9397-08002B2CF9AE}" pid="6" name="_AuthorEmailDisplayName">
    <vt:lpwstr>Caroline Chiu</vt:lpwstr>
  </property>
  <property fmtid="{D5CDD505-2E9C-101B-9397-08002B2CF9AE}" pid="7" name="_PreviousAdHocReviewCycleID">
    <vt:i4>292421013</vt:i4>
  </property>
</Properties>
</file>